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720" yWindow="405" windowWidth="11100" windowHeight="6150" firstSheet="1" activeTab="1"/>
  </bookViews>
  <sheets>
    <sheet name="Konstanten" sheetId="2" state="hidden" r:id="rId1"/>
    <sheet name="006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4525"/>
</workbook>
</file>

<file path=xl/calcChain.xml><?xml version="1.0" encoding="utf-8"?>
<calcChain xmlns="http://schemas.openxmlformats.org/spreadsheetml/2006/main">
  <c r="J185" i="1" l="1"/>
  <c r="I185" i="1"/>
  <c r="H185" i="1"/>
  <c r="J179" i="1"/>
  <c r="I179" i="1"/>
  <c r="H179" i="1"/>
  <c r="J20" i="1"/>
  <c r="I20" i="1"/>
  <c r="H20" i="1"/>
  <c r="J16" i="1"/>
  <c r="I16" i="1"/>
  <c r="H16" i="1"/>
  <c r="J31" i="1"/>
  <c r="I31" i="1"/>
  <c r="H31" i="1"/>
  <c r="J34" i="1"/>
  <c r="I34" i="1"/>
  <c r="H34" i="1"/>
  <c r="J29" i="1"/>
  <c r="I29" i="1"/>
  <c r="H29" i="1"/>
  <c r="K185" i="1" l="1"/>
  <c r="K179" i="1"/>
  <c r="K20" i="1"/>
  <c r="K16" i="1"/>
  <c r="K31" i="1"/>
  <c r="K34" i="1"/>
  <c r="K29" i="1"/>
  <c r="J267" i="1" l="1"/>
  <c r="I267" i="1"/>
  <c r="H267" i="1"/>
  <c r="K267" i="1" l="1"/>
  <c r="I126" i="1"/>
  <c r="K126" i="1" s="1"/>
  <c r="J123" i="1"/>
  <c r="I123" i="1"/>
  <c r="H123" i="1"/>
  <c r="J56" i="1"/>
  <c r="I56" i="1"/>
  <c r="H56" i="1"/>
  <c r="J61" i="1"/>
  <c r="I61" i="1"/>
  <c r="H61" i="1"/>
  <c r="J59" i="1"/>
  <c r="I59" i="1"/>
  <c r="H59" i="1"/>
  <c r="J9" i="1"/>
  <c r="I9" i="1"/>
  <c r="H9" i="1"/>
  <c r="K61" i="1" l="1"/>
  <c r="K123" i="1"/>
  <c r="K59" i="1"/>
  <c r="K9" i="1"/>
  <c r="K56" i="1"/>
  <c r="I263" i="1"/>
  <c r="K263" i="1" s="1"/>
  <c r="J260" i="1"/>
  <c r="I260" i="1"/>
  <c r="H260" i="1"/>
  <c r="J207" i="1"/>
  <c r="I207" i="1"/>
  <c r="J160" i="1"/>
  <c r="I160" i="1"/>
  <c r="H160" i="1"/>
  <c r="J157" i="1"/>
  <c r="I157" i="1"/>
  <c r="H157" i="1"/>
  <c r="J159" i="1"/>
  <c r="I159" i="1"/>
  <c r="H159" i="1"/>
  <c r="K157" i="1" l="1"/>
  <c r="K260" i="1"/>
  <c r="K207" i="1"/>
  <c r="K159" i="1"/>
  <c r="K160" i="1"/>
  <c r="J208" i="1"/>
  <c r="I208" i="1"/>
  <c r="J171" i="1"/>
  <c r="I171" i="1"/>
  <c r="H171" i="1"/>
  <c r="J170" i="1"/>
  <c r="I170" i="1"/>
  <c r="H170" i="1"/>
  <c r="J58" i="1"/>
  <c r="I58" i="1"/>
  <c r="H58" i="1"/>
  <c r="J60" i="1"/>
  <c r="I60" i="1"/>
  <c r="H60" i="1"/>
  <c r="J55" i="1"/>
  <c r="I55" i="1"/>
  <c r="H55" i="1"/>
  <c r="J54" i="1"/>
  <c r="I54" i="1"/>
  <c r="H54" i="1"/>
  <c r="K60" i="1" l="1"/>
  <c r="K55" i="1"/>
  <c r="K208" i="1"/>
  <c r="K171" i="1"/>
  <c r="K170" i="1"/>
  <c r="K58" i="1"/>
  <c r="K54" i="1"/>
  <c r="I256" i="1"/>
  <c r="K256" i="1" s="1"/>
  <c r="J253" i="1"/>
  <c r="I253" i="1"/>
  <c r="H253" i="1"/>
  <c r="I248" i="1"/>
  <c r="K248" i="1" s="1"/>
  <c r="I249" i="1"/>
  <c r="K249" i="1" s="1"/>
  <c r="J245" i="1"/>
  <c r="I245" i="1"/>
  <c r="H245" i="1"/>
  <c r="I240" i="1"/>
  <c r="K240" i="1" s="1"/>
  <c r="J237" i="1"/>
  <c r="I237" i="1"/>
  <c r="H237" i="1"/>
  <c r="I232" i="1"/>
  <c r="K232" i="1" s="1"/>
  <c r="I233" i="1"/>
  <c r="K233" i="1" s="1"/>
  <c r="J229" i="1"/>
  <c r="I229" i="1"/>
  <c r="H229" i="1"/>
  <c r="J216" i="1"/>
  <c r="I216" i="1"/>
  <c r="J205" i="1"/>
  <c r="I205" i="1"/>
  <c r="J195" i="1"/>
  <c r="I195" i="1"/>
  <c r="H195" i="1"/>
  <c r="J196" i="1"/>
  <c r="I196" i="1"/>
  <c r="H196" i="1"/>
  <c r="J184" i="1"/>
  <c r="I184" i="1"/>
  <c r="H184" i="1"/>
  <c r="J182" i="1"/>
  <c r="I182" i="1"/>
  <c r="H182" i="1"/>
  <c r="J172" i="1"/>
  <c r="I172" i="1"/>
  <c r="H172" i="1"/>
  <c r="K253" i="1" l="1"/>
  <c r="K245" i="1"/>
  <c r="K237" i="1"/>
  <c r="K229" i="1"/>
  <c r="K195" i="1"/>
  <c r="K216" i="1"/>
  <c r="K196" i="1"/>
  <c r="K205" i="1"/>
  <c r="K184" i="1"/>
  <c r="K182" i="1"/>
  <c r="K172" i="1"/>
  <c r="J162" i="1"/>
  <c r="I162" i="1"/>
  <c r="H162" i="1"/>
  <c r="J148" i="1"/>
  <c r="I148" i="1"/>
  <c r="H148" i="1"/>
  <c r="J145" i="1"/>
  <c r="I145" i="1"/>
  <c r="H145" i="1"/>
  <c r="J136" i="1"/>
  <c r="I136" i="1"/>
  <c r="H136" i="1"/>
  <c r="J135" i="1"/>
  <c r="I135" i="1"/>
  <c r="H135" i="1"/>
  <c r="K136" i="1" l="1"/>
  <c r="K162" i="1"/>
  <c r="K135" i="1"/>
  <c r="K148" i="1"/>
  <c r="K145" i="1"/>
  <c r="I96" i="1"/>
  <c r="K96" i="1" s="1"/>
  <c r="J93" i="1"/>
  <c r="I93" i="1"/>
  <c r="H93" i="1"/>
  <c r="K93" i="1" l="1"/>
  <c r="J57" i="1"/>
  <c r="I57" i="1"/>
  <c r="H57" i="1"/>
  <c r="J43" i="1"/>
  <c r="I43" i="1"/>
  <c r="H43" i="1"/>
  <c r="J45" i="1"/>
  <c r="I45" i="1"/>
  <c r="H45" i="1"/>
  <c r="J30" i="1"/>
  <c r="I30" i="1"/>
  <c r="H30" i="1"/>
  <c r="J35" i="1"/>
  <c r="I35" i="1"/>
  <c r="H35" i="1"/>
  <c r="J17" i="1"/>
  <c r="I17" i="1"/>
  <c r="H17" i="1"/>
  <c r="J6" i="1"/>
  <c r="I6" i="1"/>
  <c r="H6" i="1"/>
  <c r="J7" i="1"/>
  <c r="I7" i="1"/>
  <c r="H7" i="1"/>
  <c r="J5" i="1"/>
  <c r="I5" i="1"/>
  <c r="H5" i="1"/>
  <c r="J8" i="1"/>
  <c r="I8" i="1"/>
  <c r="H8" i="1"/>
  <c r="J2" i="1"/>
  <c r="I2" i="1"/>
  <c r="H2" i="1"/>
  <c r="H13" i="1"/>
  <c r="I13" i="1"/>
  <c r="J13" i="1"/>
  <c r="H18" i="1"/>
  <c r="I18" i="1"/>
  <c r="J18" i="1"/>
  <c r="H21" i="1"/>
  <c r="I21" i="1"/>
  <c r="J21" i="1"/>
  <c r="H22" i="1"/>
  <c r="I22" i="1"/>
  <c r="J22" i="1"/>
  <c r="H19" i="1"/>
  <c r="I19" i="1"/>
  <c r="J19" i="1"/>
  <c r="K57" i="1" l="1"/>
  <c r="K45" i="1"/>
  <c r="K43" i="1"/>
  <c r="K30" i="1"/>
  <c r="K35" i="1"/>
  <c r="K13" i="1"/>
  <c r="K17" i="1"/>
  <c r="K22" i="1"/>
  <c r="K2" i="1"/>
  <c r="K19" i="1"/>
  <c r="K21" i="1"/>
  <c r="K18" i="1"/>
  <c r="K6" i="1"/>
  <c r="K7" i="1"/>
  <c r="K5" i="1"/>
  <c r="K8" i="1"/>
  <c r="I225" i="1"/>
  <c r="K225" i="1" s="1"/>
  <c r="J222" i="1"/>
  <c r="I222" i="1"/>
  <c r="H222" i="1"/>
  <c r="K222" i="1" l="1"/>
  <c r="J144" i="1" l="1"/>
  <c r="I144" i="1"/>
  <c r="H144" i="1"/>
  <c r="K144" i="1" l="1"/>
  <c r="J42" i="1"/>
  <c r="I42" i="1"/>
  <c r="H42" i="1"/>
  <c r="K42" i="1" l="1"/>
  <c r="H33" i="1" l="1"/>
  <c r="J206" i="1" l="1"/>
  <c r="I206" i="1"/>
  <c r="J198" i="1"/>
  <c r="I198" i="1"/>
  <c r="H198" i="1"/>
  <c r="J194" i="1"/>
  <c r="I194" i="1"/>
  <c r="H194" i="1"/>
  <c r="J193" i="1"/>
  <c r="I193" i="1"/>
  <c r="H193" i="1"/>
  <c r="J197" i="1"/>
  <c r="I197" i="1"/>
  <c r="H197" i="1"/>
  <c r="K193" i="1" l="1"/>
  <c r="K197" i="1"/>
  <c r="K206" i="1"/>
  <c r="K194" i="1"/>
  <c r="K198" i="1"/>
  <c r="J217" i="1"/>
  <c r="I217" i="1"/>
  <c r="J215" i="1"/>
  <c r="I215" i="1"/>
  <c r="J218" i="1"/>
  <c r="I218" i="1"/>
  <c r="J183" i="1"/>
  <c r="I183" i="1"/>
  <c r="H183" i="1"/>
  <c r="J186" i="1"/>
  <c r="I186" i="1"/>
  <c r="H186" i="1"/>
  <c r="J181" i="1"/>
  <c r="I181" i="1"/>
  <c r="H181" i="1"/>
  <c r="J180" i="1"/>
  <c r="I180" i="1"/>
  <c r="H180" i="1"/>
  <c r="J169" i="1"/>
  <c r="I169" i="1"/>
  <c r="H169" i="1"/>
  <c r="J161" i="1"/>
  <c r="I161" i="1"/>
  <c r="H161" i="1"/>
  <c r="J158" i="1"/>
  <c r="I158" i="1"/>
  <c r="H158" i="1"/>
  <c r="J156" i="1"/>
  <c r="I156" i="1"/>
  <c r="H156" i="1"/>
  <c r="J155" i="1"/>
  <c r="I155" i="1"/>
  <c r="H155" i="1"/>
  <c r="J146" i="1"/>
  <c r="I146" i="1"/>
  <c r="H146" i="1"/>
  <c r="J147" i="1"/>
  <c r="I147" i="1"/>
  <c r="H147" i="1"/>
  <c r="J137" i="1"/>
  <c r="I137" i="1"/>
  <c r="H137" i="1"/>
  <c r="K146" i="1" l="1"/>
  <c r="K217" i="1"/>
  <c r="K218" i="1"/>
  <c r="K158" i="1"/>
  <c r="K186" i="1"/>
  <c r="K215" i="1"/>
  <c r="K137" i="1"/>
  <c r="K155" i="1"/>
  <c r="K169" i="1"/>
  <c r="K180" i="1"/>
  <c r="K181" i="1"/>
  <c r="K183" i="1"/>
  <c r="K147" i="1"/>
  <c r="K156" i="1"/>
  <c r="K161" i="1"/>
  <c r="I119" i="1"/>
  <c r="J116" i="1"/>
  <c r="I116" i="1"/>
  <c r="H116" i="1"/>
  <c r="I112" i="1"/>
  <c r="I105" i="1"/>
  <c r="J88" i="1"/>
  <c r="I88" i="1"/>
  <c r="J89" i="1"/>
  <c r="I89" i="1"/>
  <c r="J81" i="1"/>
  <c r="I81" i="1"/>
  <c r="J79" i="1"/>
  <c r="I79" i="1"/>
  <c r="J80" i="1"/>
  <c r="I80" i="1"/>
  <c r="J70" i="1"/>
  <c r="I70" i="1"/>
  <c r="H70" i="1"/>
  <c r="J69" i="1"/>
  <c r="I69" i="1"/>
  <c r="H69" i="1"/>
  <c r="J72" i="1"/>
  <c r="I72" i="1"/>
  <c r="H72" i="1"/>
  <c r="J71" i="1"/>
  <c r="I71" i="1"/>
  <c r="H71" i="1"/>
  <c r="J62" i="1"/>
  <c r="I62" i="1"/>
  <c r="H62" i="1"/>
  <c r="J32" i="1"/>
  <c r="I32" i="1"/>
  <c r="H32" i="1"/>
  <c r="J33" i="1"/>
  <c r="I33" i="1"/>
  <c r="K116" i="1" l="1"/>
  <c r="K119" i="1"/>
  <c r="K70" i="1"/>
  <c r="K105" i="1"/>
  <c r="K112" i="1"/>
  <c r="K80" i="1"/>
  <c r="K71" i="1"/>
  <c r="K81" i="1"/>
  <c r="K72" i="1"/>
  <c r="K69" i="1"/>
  <c r="K89" i="1"/>
  <c r="K79" i="1"/>
  <c r="K88" i="1"/>
  <c r="K62" i="1"/>
  <c r="K33" i="1"/>
  <c r="K32" i="1"/>
  <c r="J109" i="1" l="1"/>
  <c r="I109" i="1"/>
  <c r="H109" i="1"/>
  <c r="K109" i="1" l="1"/>
  <c r="J102" i="1" l="1"/>
  <c r="I102" i="1"/>
  <c r="H102" i="1"/>
  <c r="K102" i="1" l="1"/>
  <c r="J212" i="1" l="1"/>
  <c r="I212" i="1"/>
  <c r="H212" i="1"/>
  <c r="K212" i="1" l="1"/>
  <c r="J202" i="1" l="1"/>
  <c r="I202" i="1"/>
  <c r="H202" i="1"/>
  <c r="K202" i="1" l="1"/>
  <c r="J190" i="1"/>
  <c r="I190" i="1"/>
  <c r="H190" i="1"/>
  <c r="K190" i="1" l="1"/>
  <c r="J176" i="1"/>
  <c r="I176" i="1"/>
  <c r="H176" i="1"/>
  <c r="K176" i="1" l="1"/>
  <c r="J166" i="1"/>
  <c r="I166" i="1"/>
  <c r="H166" i="1"/>
  <c r="K166" i="1" l="1"/>
  <c r="J152" i="1"/>
  <c r="I152" i="1"/>
  <c r="H152" i="1"/>
  <c r="K152" i="1" l="1"/>
  <c r="J141" i="1"/>
  <c r="I141" i="1"/>
  <c r="H141" i="1"/>
  <c r="K141" i="1" l="1"/>
  <c r="J132" i="1"/>
  <c r="I132" i="1"/>
  <c r="H132" i="1"/>
  <c r="K132" i="1" l="1"/>
  <c r="J85" i="1" l="1"/>
  <c r="I85" i="1"/>
  <c r="H85" i="1"/>
  <c r="K85" i="1" l="1"/>
  <c r="J76" i="1"/>
  <c r="I76" i="1"/>
  <c r="H76" i="1"/>
  <c r="K76" i="1" l="1"/>
  <c r="J66" i="1"/>
  <c r="I66" i="1"/>
  <c r="H66" i="1"/>
  <c r="K66" i="1" l="1"/>
  <c r="J51" i="1"/>
  <c r="I51" i="1"/>
  <c r="H51" i="1"/>
  <c r="K51" i="1" l="1"/>
  <c r="J44" i="1"/>
  <c r="I44" i="1"/>
  <c r="H44" i="1"/>
  <c r="J47" i="1"/>
  <c r="I47" i="1"/>
  <c r="H47" i="1"/>
  <c r="J46" i="1"/>
  <c r="I46" i="1"/>
  <c r="H46" i="1"/>
  <c r="J39" i="1"/>
  <c r="I39" i="1"/>
  <c r="H39" i="1"/>
  <c r="K39" i="1" l="1"/>
  <c r="K46" i="1"/>
  <c r="K44" i="1"/>
  <c r="K47" i="1"/>
  <c r="J26" i="1"/>
  <c r="I26" i="1"/>
  <c r="H26" i="1"/>
  <c r="K26" i="1" l="1"/>
</calcChain>
</file>

<file path=xl/sharedStrings.xml><?xml version="1.0" encoding="utf-8"?>
<sst xmlns="http://schemas.openxmlformats.org/spreadsheetml/2006/main" count="838" uniqueCount="282">
  <si>
    <t>männlich</t>
  </si>
  <si>
    <t>weiblich</t>
  </si>
  <si>
    <t>a</t>
  </si>
  <si>
    <t>c</t>
  </si>
  <si>
    <t>50m</t>
  </si>
  <si>
    <t>Weitsprung</t>
  </si>
  <si>
    <t>200g Ballwurf</t>
  </si>
  <si>
    <t>80g Schlagballwurf</t>
  </si>
  <si>
    <t>75m</t>
  </si>
  <si>
    <t>100m</t>
  </si>
  <si>
    <t>Kugelstossen</t>
  </si>
  <si>
    <t>Leichtathletik</t>
  </si>
  <si>
    <t>Dreikampf</t>
  </si>
  <si>
    <t>Pl.</t>
  </si>
  <si>
    <t>Name</t>
  </si>
  <si>
    <t>Vorname</t>
  </si>
  <si>
    <t>Verein</t>
  </si>
  <si>
    <t>50m Lauf    in s</t>
  </si>
  <si>
    <t>Weit-  sprung in m</t>
  </si>
  <si>
    <t>Wurf. (80g) in m</t>
  </si>
  <si>
    <t>Lauf.</t>
  </si>
  <si>
    <t>Weit.</t>
  </si>
  <si>
    <t>Wurf.</t>
  </si>
  <si>
    <t>Gesamt</t>
  </si>
  <si>
    <t>1.</t>
  </si>
  <si>
    <t>2.</t>
  </si>
  <si>
    <t>F 7</t>
  </si>
  <si>
    <t>Wettkampf         107</t>
  </si>
  <si>
    <t>F 8</t>
  </si>
  <si>
    <t>Wettkampf         108</t>
  </si>
  <si>
    <t>F 9</t>
  </si>
  <si>
    <t>Wettkampf         109</t>
  </si>
  <si>
    <t>F 10</t>
  </si>
  <si>
    <t>Wettkampf         110</t>
  </si>
  <si>
    <t>F 11</t>
  </si>
  <si>
    <t>Wettkampf        111</t>
  </si>
  <si>
    <t>F 12</t>
  </si>
  <si>
    <t>Wettkampf         112</t>
  </si>
  <si>
    <t>F 13</t>
  </si>
  <si>
    <t>Wettkampf         113</t>
  </si>
  <si>
    <t>Wurf. (200g) in m</t>
  </si>
  <si>
    <t>M 6</t>
  </si>
  <si>
    <t>Wettkampf         006</t>
  </si>
  <si>
    <t>M 7</t>
  </si>
  <si>
    <t>Wettkampf         007</t>
  </si>
  <si>
    <t>M 8</t>
  </si>
  <si>
    <t>Wettkampf         008</t>
  </si>
  <si>
    <t>M 9</t>
  </si>
  <si>
    <t>Wettkampf          009</t>
  </si>
  <si>
    <t>M 10</t>
  </si>
  <si>
    <t>Wettkampf          010</t>
  </si>
  <si>
    <t>M 11</t>
  </si>
  <si>
    <t>Wettkampf          011</t>
  </si>
  <si>
    <t>M 12</t>
  </si>
  <si>
    <t>Wettkampf          012</t>
  </si>
  <si>
    <t>M 13</t>
  </si>
  <si>
    <t>Wettkampf         013</t>
  </si>
  <si>
    <t xml:space="preserve"> </t>
  </si>
  <si>
    <t>75m Lauf    in s</t>
  </si>
  <si>
    <t>100m Lauf    in s</t>
  </si>
  <si>
    <t>Kugel (4kg) in m</t>
  </si>
  <si>
    <t>F 17/18</t>
  </si>
  <si>
    <t>Wettkampf        1117</t>
  </si>
  <si>
    <t>0500</t>
  </si>
  <si>
    <t>M 50/54</t>
  </si>
  <si>
    <t>F 15/16</t>
  </si>
  <si>
    <t>Kugel. (3kg) in m</t>
  </si>
  <si>
    <t>Stoss</t>
  </si>
  <si>
    <t>Wettkampf         1115</t>
  </si>
  <si>
    <t>TV Bürgstadt</t>
  </si>
  <si>
    <t>TV Schweinheim</t>
  </si>
  <si>
    <t>TV Wasserlos</t>
  </si>
  <si>
    <t>Buchner</t>
  </si>
  <si>
    <t>Naomi</t>
  </si>
  <si>
    <t>Herzog</t>
  </si>
  <si>
    <t>Samira</t>
  </si>
  <si>
    <t>Anika</t>
  </si>
  <si>
    <t>Werner</t>
  </si>
  <si>
    <t>Theresa</t>
  </si>
  <si>
    <t>Lena</t>
  </si>
  <si>
    <t>Weis</t>
  </si>
  <si>
    <t>TV Großostheim</t>
  </si>
  <si>
    <t>Fischer</t>
  </si>
  <si>
    <t>Wörner</t>
  </si>
  <si>
    <t>Bernhard</t>
  </si>
  <si>
    <t>Paul</t>
  </si>
  <si>
    <t xml:space="preserve">Freudenberger </t>
  </si>
  <si>
    <t>Felix</t>
  </si>
  <si>
    <t>Maximilian</t>
  </si>
  <si>
    <t>Schott</t>
  </si>
  <si>
    <t>Vitus</t>
  </si>
  <si>
    <t>Leon</t>
  </si>
  <si>
    <t>Philipp</t>
  </si>
  <si>
    <t>Klemm</t>
  </si>
  <si>
    <t>Brunner</t>
  </si>
  <si>
    <t>Busch</t>
  </si>
  <si>
    <t>Jonathan</t>
  </si>
  <si>
    <t>Urs</t>
  </si>
  <si>
    <t xml:space="preserve">Trübenbach </t>
  </si>
  <si>
    <t>Jonas</t>
  </si>
  <si>
    <t>Franz-Xaver</t>
  </si>
  <si>
    <t>M 15/16</t>
  </si>
  <si>
    <t>0115</t>
  </si>
  <si>
    <t>Konrad</t>
  </si>
  <si>
    <t>Elias</t>
  </si>
  <si>
    <t>Gruß</t>
  </si>
  <si>
    <t>Magnus</t>
  </si>
  <si>
    <t>Schneider</t>
  </si>
  <si>
    <t>Marcus</t>
  </si>
  <si>
    <t>TV Miltenberg</t>
  </si>
  <si>
    <t>M 40/44</t>
  </si>
  <si>
    <t>0400</t>
  </si>
  <si>
    <t>Kugel (7,25) in m</t>
  </si>
  <si>
    <t>F 19/29</t>
  </si>
  <si>
    <t>Wettkampf        1119</t>
  </si>
  <si>
    <t>M 17/18</t>
  </si>
  <si>
    <t>0117</t>
  </si>
  <si>
    <t>Väth</t>
  </si>
  <si>
    <t>Linus</t>
  </si>
  <si>
    <t>TV Laufach</t>
  </si>
  <si>
    <t>Fuß</t>
  </si>
  <si>
    <t>Katharina</t>
  </si>
  <si>
    <t>Hanna</t>
  </si>
  <si>
    <t>Johanna</t>
  </si>
  <si>
    <t>3.</t>
  </si>
  <si>
    <t>4.</t>
  </si>
  <si>
    <t>Carl-Anton</t>
  </si>
  <si>
    <t>Kremer</t>
  </si>
  <si>
    <t>5.</t>
  </si>
  <si>
    <t>6.</t>
  </si>
  <si>
    <t>7.</t>
  </si>
  <si>
    <t>8.</t>
  </si>
  <si>
    <t>9.</t>
  </si>
  <si>
    <t>Noah</t>
  </si>
  <si>
    <t>M 14</t>
  </si>
  <si>
    <t>014</t>
  </si>
  <si>
    <t>F 6</t>
  </si>
  <si>
    <t>F 14</t>
  </si>
  <si>
    <t>Wettkampf         114</t>
  </si>
  <si>
    <t>Kugel (4) in m</t>
  </si>
  <si>
    <t>Kugel (5) in m</t>
  </si>
  <si>
    <t>Zoey</t>
  </si>
  <si>
    <t>TV Kirchzell</t>
  </si>
  <si>
    <t>Marlene</t>
  </si>
  <si>
    <t>Rosalie</t>
  </si>
  <si>
    <t>Breer</t>
  </si>
  <si>
    <t>Mollner</t>
  </si>
  <si>
    <t>TV Elsenfeld</t>
  </si>
  <si>
    <t xml:space="preserve">Hahn </t>
  </si>
  <si>
    <t>Stauder</t>
  </si>
  <si>
    <t>Anastasija</t>
  </si>
  <si>
    <t>Hahn</t>
  </si>
  <si>
    <t>Constantin</t>
  </si>
  <si>
    <t>Sänger</t>
  </si>
  <si>
    <t>Jean</t>
  </si>
  <si>
    <t>Kick</t>
  </si>
  <si>
    <t>Phillip</t>
  </si>
  <si>
    <t>Bräuer</t>
  </si>
  <si>
    <t>DJK Aschaffenburg</t>
  </si>
  <si>
    <t>Mika</t>
  </si>
  <si>
    <t xml:space="preserve">Berberich </t>
  </si>
  <si>
    <t>David</t>
  </si>
  <si>
    <t>Koch</t>
  </si>
  <si>
    <t>Linnea</t>
  </si>
  <si>
    <t>Julius</t>
  </si>
  <si>
    <t>Weingarten</t>
  </si>
  <si>
    <t>Lasse</t>
  </si>
  <si>
    <t>Singh</t>
  </si>
  <si>
    <t>Abhijeet</t>
  </si>
  <si>
    <t>Breunig</t>
  </si>
  <si>
    <t>Ritter</t>
  </si>
  <si>
    <t>TV Haibach</t>
  </si>
  <si>
    <t>Ella</t>
  </si>
  <si>
    <t>Emilia</t>
  </si>
  <si>
    <t>Frank</t>
  </si>
  <si>
    <t>Raub</t>
  </si>
  <si>
    <t>TV 1860 Aschaffenburg</t>
  </si>
  <si>
    <t>Heinz</t>
  </si>
  <si>
    <t>Marie</t>
  </si>
  <si>
    <t>Heilmann</t>
  </si>
  <si>
    <t>Alina</t>
  </si>
  <si>
    <t>Veith</t>
  </si>
  <si>
    <t>Hannah</t>
  </si>
  <si>
    <t>Madita</t>
  </si>
  <si>
    <t>Maschke</t>
  </si>
  <si>
    <t>Nolting</t>
  </si>
  <si>
    <t>Sebastian</t>
  </si>
  <si>
    <t>Meitinger</t>
  </si>
  <si>
    <t>TV Dettingen</t>
  </si>
  <si>
    <t>Sternkopf</t>
  </si>
  <si>
    <t>Paula</t>
  </si>
  <si>
    <t>LuT Aschaffenburg</t>
  </si>
  <si>
    <t>Weidemann</t>
  </si>
  <si>
    <t>Brisa</t>
  </si>
  <si>
    <t>Imgrund</t>
  </si>
  <si>
    <t>Sophia</t>
  </si>
  <si>
    <t>Richter</t>
  </si>
  <si>
    <t>Nicole</t>
  </si>
  <si>
    <t>Raabe</t>
  </si>
  <si>
    <t>Charlotte</t>
  </si>
  <si>
    <t>Hellmann</t>
  </si>
  <si>
    <t>Vavricka</t>
  </si>
  <si>
    <t>Vanessa</t>
  </si>
  <si>
    <t>Kreutz</t>
  </si>
  <si>
    <t>Anna</t>
  </si>
  <si>
    <t>LuT Aschaaffenburg</t>
  </si>
  <si>
    <t>Pheline</t>
  </si>
  <si>
    <t>Schmitz-Winnenthal</t>
  </si>
  <si>
    <t>Benjamin</t>
  </si>
  <si>
    <t>Schlereth</t>
  </si>
  <si>
    <t>Moritz</t>
  </si>
  <si>
    <t>Johann</t>
  </si>
  <si>
    <t>LuT Aschaffenurg</t>
  </si>
  <si>
    <t>Perdok</t>
  </si>
  <si>
    <t>Luca</t>
  </si>
  <si>
    <t>Jocob</t>
  </si>
  <si>
    <t>Max-Leopold</t>
  </si>
  <si>
    <t>Hubrach</t>
  </si>
  <si>
    <t>Deppisch</t>
  </si>
  <si>
    <t>Emil</t>
  </si>
  <si>
    <t>Kraguliac</t>
  </si>
  <si>
    <t>Ben Luca</t>
  </si>
  <si>
    <t>Jakob</t>
  </si>
  <si>
    <t>Henrik</t>
  </si>
  <si>
    <t>Jan Robert</t>
  </si>
  <si>
    <t>Oskar</t>
  </si>
  <si>
    <t>Swoboda</t>
  </si>
  <si>
    <t>Ben</t>
  </si>
  <si>
    <t>Jakovljevic</t>
  </si>
  <si>
    <t>Erik</t>
  </si>
  <si>
    <t>Heßler</t>
  </si>
  <si>
    <t>Lewin</t>
  </si>
  <si>
    <t>Barz</t>
  </si>
  <si>
    <t>Tobias</t>
  </si>
  <si>
    <t>Chu</t>
  </si>
  <si>
    <t>John</t>
  </si>
  <si>
    <t>Aurel</t>
  </si>
  <si>
    <t>M 45/49</t>
  </si>
  <si>
    <t>0545</t>
  </si>
  <si>
    <t>Stefan</t>
  </si>
  <si>
    <t>Kugel (6) in m</t>
  </si>
  <si>
    <t>Franz</t>
  </si>
  <si>
    <t>Wehrmann</t>
  </si>
  <si>
    <t>Adele</t>
  </si>
  <si>
    <t>Stürmer</t>
  </si>
  <si>
    <t>Josefine</t>
  </si>
  <si>
    <t>Scherger</t>
  </si>
  <si>
    <t>Störger</t>
  </si>
  <si>
    <t>Nicki</t>
  </si>
  <si>
    <t>Belz</t>
  </si>
  <si>
    <t>Hilda</t>
  </si>
  <si>
    <t>Bräutigam</t>
  </si>
  <si>
    <t>Ewald</t>
  </si>
  <si>
    <t>Sophie</t>
  </si>
  <si>
    <t>Czirnich</t>
  </si>
  <si>
    <t>Stein</t>
  </si>
  <si>
    <t>Felzmann</t>
  </si>
  <si>
    <t>Emma</t>
  </si>
  <si>
    <t>Dieser</t>
  </si>
  <si>
    <t>TV Scheinheim</t>
  </si>
  <si>
    <t>Kern</t>
  </si>
  <si>
    <t>Anna Rosa</t>
  </si>
  <si>
    <t>Pauline</t>
  </si>
  <si>
    <t>Wilden</t>
  </si>
  <si>
    <t>Julika</t>
  </si>
  <si>
    <t>Anne</t>
  </si>
  <si>
    <t>Kapraun</t>
  </si>
  <si>
    <t>Luisa</t>
  </si>
  <si>
    <t>F 45/49</t>
  </si>
  <si>
    <t>Wettkampf        1145</t>
  </si>
  <si>
    <t>Birgit</t>
  </si>
  <si>
    <t>Integrative Sportgruppe</t>
  </si>
  <si>
    <t>Cenberli</t>
  </si>
  <si>
    <t>Serda</t>
  </si>
  <si>
    <t>TV Trennfurt</t>
  </si>
  <si>
    <t>Cakir</t>
  </si>
  <si>
    <t>Zuleya</t>
  </si>
  <si>
    <t>mit Erfog teilgenommen</t>
  </si>
  <si>
    <t>Schebreck</t>
  </si>
  <si>
    <t>Isabella</t>
  </si>
  <si>
    <t>Schaback</t>
  </si>
  <si>
    <t>Klingenhöffer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</si>
</sst>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0" tint="-0.249977111117893"/>
      <name val="Arial"/>
      <family val="2"/>
    </font>
    <font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12"/>
      <color theme="0" tint="-0.3499862666707357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4" fillId="2" borderId="0" xfId="0" applyFont="1" applyFill="1" applyBorder="1"/>
    <xf numFmtId="0" fontId="3" fillId="2" borderId="0" xfId="0" applyFont="1" applyFill="1" applyBorder="1"/>
    <xf numFmtId="2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1" fontId="6" fillId="0" borderId="0" xfId="1" applyNumberFormat="1" applyFont="1" applyFill="1" applyBorder="1" applyAlignment="1">
      <alignment horizontal="right" wrapText="1"/>
    </xf>
    <xf numFmtId="1" fontId="3" fillId="0" borderId="0" xfId="0" applyNumberFormat="1" applyFont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3" fillId="0" borderId="4" xfId="0" applyNumberFormat="1" applyFont="1" applyBorder="1"/>
    <xf numFmtId="0" fontId="1" fillId="0" borderId="4" xfId="1" applyFont="1" applyFill="1" applyBorder="1" applyAlignment="1">
      <alignment horizontal="left" wrapText="1"/>
    </xf>
    <xf numFmtId="2" fontId="1" fillId="3" borderId="4" xfId="1" applyNumberFormat="1" applyFont="1" applyFill="1" applyBorder="1" applyAlignment="1">
      <alignment horizontal="right" wrapText="1"/>
    </xf>
    <xf numFmtId="164" fontId="1" fillId="3" borderId="4" xfId="1" applyNumberFormat="1" applyFont="1" applyFill="1" applyBorder="1" applyAlignment="1">
      <alignment horizontal="right" wrapText="1"/>
    </xf>
    <xf numFmtId="1" fontId="1" fillId="5" borderId="4" xfId="1" applyNumberFormat="1" applyFont="1" applyFill="1" applyBorder="1" applyAlignment="1">
      <alignment horizontal="right" wrapText="1"/>
    </xf>
    <xf numFmtId="1" fontId="1" fillId="4" borderId="4" xfId="0" applyNumberFormat="1" applyFont="1" applyFill="1" applyBorder="1"/>
    <xf numFmtId="0" fontId="1" fillId="0" borderId="4" xfId="0" applyFont="1" applyBorder="1"/>
    <xf numFmtId="0" fontId="3" fillId="0" borderId="4" xfId="0" applyFont="1" applyBorder="1"/>
    <xf numFmtId="0" fontId="7" fillId="0" borderId="0" xfId="0" applyFont="1" applyBorder="1"/>
    <xf numFmtId="2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4" borderId="4" xfId="0" applyFont="1" applyFill="1" applyBorder="1"/>
    <xf numFmtId="0" fontId="8" fillId="0" borderId="4" xfId="0" applyFont="1" applyBorder="1"/>
    <xf numFmtId="0" fontId="8" fillId="0" borderId="4" xfId="1" applyFont="1" applyFill="1" applyBorder="1" applyAlignment="1">
      <alignment horizontal="left" wrapText="1"/>
    </xf>
    <xf numFmtId="0" fontId="4" fillId="6" borderId="0" xfId="0" applyFont="1" applyFill="1" applyBorder="1"/>
    <xf numFmtId="0" fontId="3" fillId="6" borderId="0" xfId="0" applyFont="1" applyFill="1" applyBorder="1"/>
    <xf numFmtId="49" fontId="9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4" xfId="1" applyFont="1" applyFill="1" applyBorder="1" applyAlignment="1">
      <alignment horizontal="left" wrapText="1"/>
    </xf>
    <xf numFmtId="0" fontId="11" fillId="0" borderId="4" xfId="0" applyFont="1" applyBorder="1"/>
    <xf numFmtId="0" fontId="1" fillId="0" borderId="0" xfId="1" applyFont="1" applyFill="1" applyBorder="1" applyAlignment="1">
      <alignment horizontal="left" wrapText="1"/>
    </xf>
    <xf numFmtId="1" fontId="1" fillId="5" borderId="0" xfId="1" applyNumberFormat="1" applyFont="1" applyFill="1" applyBorder="1" applyAlignment="1">
      <alignment horizontal="right" wrapText="1"/>
    </xf>
    <xf numFmtId="1" fontId="1" fillId="5" borderId="0" xfId="0" applyNumberFormat="1" applyFont="1" applyFill="1" applyBorder="1"/>
    <xf numFmtId="2" fontId="1" fillId="5" borderId="0" xfId="1" applyNumberFormat="1" applyFont="1" applyFill="1" applyBorder="1" applyAlignment="1">
      <alignment horizontal="right" wrapText="1"/>
    </xf>
    <xf numFmtId="164" fontId="1" fillId="5" borderId="0" xfId="1" applyNumberFormat="1" applyFont="1" applyFill="1" applyBorder="1" applyAlignment="1">
      <alignment horizontal="right" wrapText="1"/>
    </xf>
    <xf numFmtId="0" fontId="13" fillId="0" borderId="0" xfId="0" applyFont="1" applyBorder="1"/>
    <xf numFmtId="0" fontId="4" fillId="7" borderId="0" xfId="0" applyFont="1" applyFill="1" applyBorder="1"/>
    <xf numFmtId="0" fontId="3" fillId="7" borderId="0" xfId="0" applyFont="1" applyFill="1" applyBorder="1"/>
    <xf numFmtId="0" fontId="12" fillId="7" borderId="0" xfId="0" applyFont="1" applyFill="1" applyBorder="1"/>
    <xf numFmtId="0" fontId="0" fillId="0" borderId="0" xfId="0" applyAlignment="1">
      <alignment horizontal="center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colors>
    <mruColors>
      <color rgb="FFF1F0E7"/>
      <color rgb="FFFCE0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0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0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0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IS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06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GMSP/TGMSP/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07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06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07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08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09"/>
      <sheetName val="Tabelle1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10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11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12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13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06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06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006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08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09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10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06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12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13"/>
    </sheetNames>
    <sheetDataSet>
      <sheetData sheetId="0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  <sheetName val="114"/>
    </sheetNames>
    <sheetDataSet>
      <sheetData sheetId="0" refreshError="1">
        <row r="5">
          <cell r="G5">
            <v>3.6480000000000001</v>
          </cell>
          <cell r="H5">
            <v>6.6E-3</v>
          </cell>
        </row>
        <row r="6">
          <cell r="G6">
            <v>1.0934999999999999</v>
          </cell>
          <cell r="H6">
            <v>2.0799999999999998E-3</v>
          </cell>
        </row>
        <row r="8">
          <cell r="G8">
            <v>2.0232000000000001</v>
          </cell>
          <cell r="H8">
            <v>8.7399999999999995E-3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3:H12"/>
  <sheetViews>
    <sheetView workbookViewId="0">
      <selection activeCell="C5" sqref="C5"/>
    </sheetView>
  </sheetViews>
  <sheetFormatPr baseColWidth="10" defaultRowHeight="12.75" x14ac:dyDescent="0.2"/>
  <cols>
    <col min="1" max="1" width="20.5703125" customWidth="1"/>
  </cols>
  <sheetData>
    <row r="3" spans="1:8" x14ac:dyDescent="0.2">
      <c r="A3" s="48" t="s">
        <v>0</v>
      </c>
      <c r="B3" s="48"/>
      <c r="C3" s="48"/>
      <c r="F3" s="48" t="s">
        <v>1</v>
      </c>
      <c r="G3" s="48"/>
      <c r="H3" s="48"/>
    </row>
    <row r="4" spans="1:8" x14ac:dyDescent="0.2">
      <c r="B4" t="s">
        <v>2</v>
      </c>
      <c r="C4" t="s">
        <v>3</v>
      </c>
      <c r="G4" t="s">
        <v>2</v>
      </c>
      <c r="H4" t="s">
        <v>3</v>
      </c>
    </row>
    <row r="5" spans="1:8" x14ac:dyDescent="0.2">
      <c r="A5" t="s">
        <v>4</v>
      </c>
      <c r="B5">
        <v>3.79</v>
      </c>
      <c r="C5">
        <v>6.8999999999999999E-3</v>
      </c>
      <c r="F5" t="s">
        <v>4</v>
      </c>
      <c r="G5">
        <v>3.6480000000000001</v>
      </c>
      <c r="H5">
        <v>6.6E-3</v>
      </c>
    </row>
    <row r="6" spans="1:8" x14ac:dyDescent="0.2">
      <c r="A6" t="s">
        <v>5</v>
      </c>
      <c r="B6">
        <v>1.15028</v>
      </c>
      <c r="C6">
        <v>2.1900000000000001E-3</v>
      </c>
      <c r="F6" t="s">
        <v>5</v>
      </c>
      <c r="G6">
        <v>1.0934999999999999</v>
      </c>
      <c r="H6">
        <v>2.0799999999999998E-3</v>
      </c>
    </row>
    <row r="7" spans="1:8" x14ac:dyDescent="0.2">
      <c r="A7" t="s">
        <v>6</v>
      </c>
      <c r="B7">
        <v>1.9359999999999999</v>
      </c>
      <c r="C7">
        <v>1.24E-2</v>
      </c>
      <c r="F7" t="s">
        <v>6</v>
      </c>
      <c r="G7">
        <v>1.4149</v>
      </c>
      <c r="H7">
        <v>1.039E-2</v>
      </c>
    </row>
    <row r="8" spans="1:8" x14ac:dyDescent="0.2">
      <c r="A8" t="s">
        <v>7</v>
      </c>
      <c r="B8">
        <v>2.8</v>
      </c>
      <c r="C8">
        <v>1.0999999999999999E-2</v>
      </c>
      <c r="F8" t="s">
        <v>7</v>
      </c>
      <c r="G8">
        <v>2.0232000000000001</v>
      </c>
      <c r="H8">
        <v>8.7399999999999995E-3</v>
      </c>
    </row>
    <row r="10" spans="1:8" x14ac:dyDescent="0.2">
      <c r="A10" t="s">
        <v>8</v>
      </c>
      <c r="B10">
        <v>4.0999999999999996</v>
      </c>
      <c r="C10">
        <v>6.6400000000000001E-3</v>
      </c>
      <c r="F10" t="s">
        <v>8</v>
      </c>
      <c r="G10">
        <v>3.9980000000000002</v>
      </c>
      <c r="H10">
        <v>6.6E-3</v>
      </c>
    </row>
    <row r="11" spans="1:8" x14ac:dyDescent="0.2">
      <c r="A11" t="s">
        <v>9</v>
      </c>
      <c r="B11">
        <v>4.3410000000000002</v>
      </c>
      <c r="C11">
        <v>6.7600000000000004E-3</v>
      </c>
      <c r="F11" t="s">
        <v>9</v>
      </c>
      <c r="G11">
        <v>4.0061999999999998</v>
      </c>
      <c r="H11">
        <v>6.5599999999999999E-3</v>
      </c>
    </row>
    <row r="12" spans="1:8" x14ac:dyDescent="0.2">
      <c r="A12" t="s">
        <v>10</v>
      </c>
      <c r="B12">
        <v>1.425</v>
      </c>
      <c r="C12">
        <v>3.7000000000000002E-3</v>
      </c>
      <c r="F12" t="s">
        <v>10</v>
      </c>
      <c r="G12">
        <v>1.2789999999999999</v>
      </c>
      <c r="H12">
        <v>3.98E-3</v>
      </c>
    </row>
  </sheetData>
  <mergeCells count="2">
    <mergeCell ref="A3:C3"/>
    <mergeCell ref="F3:H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2"/>
  <sheetViews>
    <sheetView tabSelected="1" topLeftCell="A13" zoomScale="75" workbookViewId="0">
      <selection activeCell="D26" sqref="D26"/>
    </sheetView>
  </sheetViews>
  <sheetFormatPr baseColWidth="10" defaultRowHeight="15" x14ac:dyDescent="0.2"/>
  <cols>
    <col min="1" max="1" width="6.42578125" style="3" customWidth="1"/>
    <col min="2" max="2" width="22" style="3" customWidth="1"/>
    <col min="3" max="3" width="18.7109375" style="3" customWidth="1"/>
    <col min="4" max="4" width="27.28515625" style="3" customWidth="1"/>
    <col min="5" max="5" width="8.28515625" style="2" customWidth="1"/>
    <col min="6" max="6" width="9.7109375" style="2" customWidth="1"/>
    <col min="7" max="7" width="8.42578125" style="4" customWidth="1"/>
    <col min="8" max="10" width="8.42578125" style="3" customWidth="1"/>
    <col min="11" max="11" width="9" style="3" customWidth="1"/>
    <col min="12" max="16384" width="11.42578125" style="1"/>
  </cols>
  <sheetData>
    <row r="1" spans="1:11" ht="18" x14ac:dyDescent="0.25">
      <c r="A1" s="5"/>
      <c r="B1" s="6" t="s">
        <v>11</v>
      </c>
      <c r="C1" s="7"/>
      <c r="D1" s="5"/>
      <c r="E1" s="8"/>
      <c r="F1" s="8"/>
      <c r="G1" s="9"/>
      <c r="H1" s="5"/>
      <c r="I1" s="5"/>
      <c r="J1" s="5"/>
      <c r="K1" s="5"/>
    </row>
    <row r="2" spans="1:11" ht="18" x14ac:dyDescent="0.25">
      <c r="A2" s="5"/>
      <c r="B2" s="6" t="s">
        <v>12</v>
      </c>
      <c r="C2" s="6" t="s">
        <v>136</v>
      </c>
      <c r="D2" s="10" t="s">
        <v>27</v>
      </c>
      <c r="E2" s="8"/>
      <c r="F2" s="8"/>
      <c r="G2" s="9"/>
      <c r="H2" s="11">
        <f>ROUND(IF(OR((((50/($E2+0.24))-[1]Konstanten!$G$5)/[1]Konstanten!$H$5)&lt;0,$E2=""),0,(((50/($E2+0.24))-[1]Konstanten!$G$5)/[1]Konstanten!$H$5)),0)</f>
        <v>0</v>
      </c>
      <c r="I2" s="11">
        <f>ROUND(IF(((SQRT($F2)-[1]Konstanten!$G$6)/[1]Konstanten!$H$6)&lt;0,0,((SQRT($F2)-[1]Konstanten!$G$6)/[1]Konstanten!$H$6)),0)</f>
        <v>0</v>
      </c>
      <c r="J2" s="11">
        <f>ROUND(IF(((SQRT($G2)-[1]Konstanten!$G$8)/[1]Konstanten!$H$8)&lt;0,0,((SQRT($G2)-[1]Konstanten!$G$8)/[1]Konstanten!$H$8)),0)</f>
        <v>0</v>
      </c>
      <c r="K2" s="12">
        <f>SUM(H2:J2)</f>
        <v>0</v>
      </c>
    </row>
    <row r="3" spans="1:11" ht="15.75" x14ac:dyDescent="0.25">
      <c r="A3" s="5"/>
      <c r="B3" s="5"/>
      <c r="C3" s="5"/>
      <c r="D3" s="36">
        <v>2012</v>
      </c>
      <c r="E3" s="8"/>
      <c r="F3" s="8"/>
      <c r="G3" s="9"/>
      <c r="H3" s="5"/>
      <c r="I3" s="5"/>
      <c r="J3" s="5"/>
      <c r="K3" s="5"/>
    </row>
    <row r="4" spans="1:11" ht="47.25" x14ac:dyDescent="0.25">
      <c r="A4" s="5" t="s">
        <v>13</v>
      </c>
      <c r="B4" s="5" t="s">
        <v>14</v>
      </c>
      <c r="C4" s="5" t="s">
        <v>15</v>
      </c>
      <c r="D4" s="5" t="s">
        <v>16</v>
      </c>
      <c r="E4" s="13" t="s">
        <v>17</v>
      </c>
      <c r="F4" s="14" t="s">
        <v>18</v>
      </c>
      <c r="G4" s="15" t="s">
        <v>19</v>
      </c>
      <c r="H4" s="16" t="s">
        <v>20</v>
      </c>
      <c r="I4" s="17" t="s">
        <v>21</v>
      </c>
      <c r="J4" s="17" t="s">
        <v>22</v>
      </c>
      <c r="K4" s="18" t="s">
        <v>23</v>
      </c>
    </row>
    <row r="5" spans="1:11" ht="15.75" x14ac:dyDescent="0.25">
      <c r="A5" s="19" t="s">
        <v>24</v>
      </c>
      <c r="B5" s="37" t="s">
        <v>181</v>
      </c>
      <c r="C5" s="37" t="s">
        <v>183</v>
      </c>
      <c r="D5" s="37" t="s">
        <v>176</v>
      </c>
      <c r="E5" s="21">
        <v>10.6</v>
      </c>
      <c r="F5" s="21">
        <v>2.33</v>
      </c>
      <c r="G5" s="22">
        <v>6</v>
      </c>
      <c r="H5" s="23">
        <f>ROUND(IF(OR((((50/($E5+0.24))-[2]Konstanten!$G$5)/[2]Konstanten!$H$5)&lt;0,$E5=""),0,(((50/($E5+0.24))-[2]Konstanten!$G$5)/[2]Konstanten!$H$5)),0)</f>
        <v>146</v>
      </c>
      <c r="I5" s="23">
        <f>ROUND(IF(((SQRT($F5)-[2]Konstanten!$G$6)/[2]Konstanten!$H$6)&lt;0,0,((SQRT($F5)-[2]Konstanten!$G$6)/[2]Konstanten!$H$6)),0)</f>
        <v>208</v>
      </c>
      <c r="J5" s="23">
        <f>ROUND(IF(((SQRT($G5)-[2]Konstanten!$G$8)/[2]Konstanten!$H$8)&lt;0,0,((SQRT($G5)-[2]Konstanten!$G$8)/[2]Konstanten!$H$8)),0)</f>
        <v>49</v>
      </c>
      <c r="K5" s="24">
        <f>SUM(H5:J5)</f>
        <v>403</v>
      </c>
    </row>
    <row r="6" spans="1:11" ht="15.75" x14ac:dyDescent="0.25">
      <c r="A6" s="19" t="s">
        <v>25</v>
      </c>
      <c r="B6" s="20" t="s">
        <v>148</v>
      </c>
      <c r="C6" s="20" t="s">
        <v>144</v>
      </c>
      <c r="D6" s="20" t="s">
        <v>147</v>
      </c>
      <c r="E6" s="21">
        <v>10.6</v>
      </c>
      <c r="F6" s="21">
        <v>2.4</v>
      </c>
      <c r="G6" s="22">
        <v>5.5</v>
      </c>
      <c r="H6" s="23">
        <f>ROUND(IF(OR((((50/($E6+0.24))-[2]Konstanten!$G$5)/[2]Konstanten!$H$5)&lt;0,$E6=""),0,(((50/($E6+0.24))-[2]Konstanten!$G$5)/[2]Konstanten!$H$5)),0)</f>
        <v>146</v>
      </c>
      <c r="I6" s="23">
        <f>ROUND(IF(((SQRT($F6)-[2]Konstanten!$G$6)/[2]Konstanten!$H$6)&lt;0,0,((SQRT($F6)-[2]Konstanten!$G$6)/[2]Konstanten!$H$6)),0)</f>
        <v>219</v>
      </c>
      <c r="J6" s="23">
        <f>ROUND(IF(((SQRT($G6)-[2]Konstanten!$G$8)/[2]Konstanten!$H$8)&lt;0,0,((SQRT($G6)-[2]Konstanten!$G$8)/[2]Konstanten!$H$8)),0)</f>
        <v>37</v>
      </c>
      <c r="K6" s="24">
        <f>SUM(H6:J6)</f>
        <v>402</v>
      </c>
    </row>
    <row r="7" spans="1:11" ht="15.75" x14ac:dyDescent="0.25">
      <c r="A7" s="19" t="s">
        <v>124</v>
      </c>
      <c r="B7" s="38" t="s">
        <v>177</v>
      </c>
      <c r="C7" s="37" t="s">
        <v>79</v>
      </c>
      <c r="D7" s="20" t="s">
        <v>176</v>
      </c>
      <c r="E7" s="21">
        <v>10.6</v>
      </c>
      <c r="F7" s="21">
        <v>1.75</v>
      </c>
      <c r="G7" s="22">
        <v>9</v>
      </c>
      <c r="H7" s="23">
        <f>ROUND(IF(OR((((50/($E7+0.24))-[2]Konstanten!$G$5)/[2]Konstanten!$H$5)&lt;0,$E7=""),0,(((50/($E7+0.24))-[2]Konstanten!$G$5)/[2]Konstanten!$H$5)),0)</f>
        <v>146</v>
      </c>
      <c r="I7" s="23">
        <f>ROUND(IF(((SQRT($F7)-[2]Konstanten!$G$6)/[2]Konstanten!$H$6)&lt;0,0,((SQRT($F7)-[2]Konstanten!$G$6)/[2]Konstanten!$H$6)),0)</f>
        <v>110</v>
      </c>
      <c r="J7" s="23">
        <f>ROUND(IF(((SQRT($G7)-[2]Konstanten!$G$8)/[2]Konstanten!$H$8)&lt;0,0,((SQRT($G7)-[2]Konstanten!$G$8)/[2]Konstanten!$H$8)),0)</f>
        <v>112</v>
      </c>
      <c r="K7" s="24">
        <f>SUM(H7:J7)</f>
        <v>368</v>
      </c>
    </row>
    <row r="8" spans="1:11" ht="15.75" x14ac:dyDescent="0.25">
      <c r="A8" s="19" t="s">
        <v>125</v>
      </c>
      <c r="B8" s="20" t="s">
        <v>194</v>
      </c>
      <c r="C8" s="20" t="s">
        <v>195</v>
      </c>
      <c r="D8" s="37" t="s">
        <v>191</v>
      </c>
      <c r="E8" s="21">
        <v>11.5</v>
      </c>
      <c r="F8" s="21">
        <v>1.7</v>
      </c>
      <c r="G8" s="22">
        <v>6.5</v>
      </c>
      <c r="H8" s="23">
        <f>ROUND(IF(OR((((50/($E8+0.24))-[2]Konstanten!$G$5)/[2]Konstanten!$H$5)&lt;0,$E8=""),0,(((50/($E8+0.24))-[2]Konstanten!$G$5)/[2]Konstanten!$H$5)),0)</f>
        <v>93</v>
      </c>
      <c r="I8" s="23">
        <f>ROUND(IF(((SQRT($F8)-[2]Konstanten!$G$6)/[2]Konstanten!$H$6)&lt;0,0,((SQRT($F8)-[2]Konstanten!$G$6)/[2]Konstanten!$H$6)),0)</f>
        <v>101</v>
      </c>
      <c r="J8" s="23">
        <f>ROUND(IF(((SQRT($G8)-[2]Konstanten!$G$8)/[2]Konstanten!$H$8)&lt;0,0,((SQRT($G8)-[2]Konstanten!$G$8)/[2]Konstanten!$H$8)),0)</f>
        <v>60</v>
      </c>
      <c r="K8" s="24">
        <f>SUM(H8:J8)</f>
        <v>254</v>
      </c>
    </row>
    <row r="9" spans="1:11" ht="15.75" x14ac:dyDescent="0.25">
      <c r="A9" s="19" t="s">
        <v>128</v>
      </c>
      <c r="B9" s="20" t="s">
        <v>242</v>
      </c>
      <c r="C9" s="20" t="s">
        <v>243</v>
      </c>
      <c r="D9" s="37" t="s">
        <v>70</v>
      </c>
      <c r="E9" s="21">
        <v>12.1</v>
      </c>
      <c r="F9" s="21">
        <v>1.77</v>
      </c>
      <c r="G9" s="22">
        <v>6</v>
      </c>
      <c r="H9" s="23">
        <f>ROUND(IF(OR((((50/($E9+0.24))-[2]Konstanten!$G$5)/[2]Konstanten!$H$5)&lt;0,$E9=""),0,(((50/($E9+0.24))-[2]Konstanten!$G$5)/[2]Konstanten!$H$5)),0)</f>
        <v>61</v>
      </c>
      <c r="I9" s="23">
        <f>ROUND(IF(((SQRT($F9)-[2]Konstanten!$G$6)/[2]Konstanten!$H$6)&lt;0,0,((SQRT($F9)-[2]Konstanten!$G$6)/[2]Konstanten!$H$6)),0)</f>
        <v>114</v>
      </c>
      <c r="J9" s="23">
        <f>ROUND(IF(((SQRT($G9)-[2]Konstanten!$G$8)/[2]Konstanten!$H$8)&lt;0,0,((SQRT($G9)-[2]Konstanten!$G$8)/[2]Konstanten!$H$8)),0)</f>
        <v>49</v>
      </c>
      <c r="K9" s="24">
        <f>SUM(H9:J9)</f>
        <v>224</v>
      </c>
    </row>
    <row r="10" spans="1:11" x14ac:dyDescent="0.2">
      <c r="A10" s="25"/>
      <c r="B10" s="25"/>
      <c r="C10" s="25"/>
      <c r="D10" s="25"/>
      <c r="E10" s="28"/>
      <c r="F10" s="28"/>
      <c r="G10" s="29"/>
      <c r="H10" s="25"/>
      <c r="I10" s="25"/>
      <c r="J10" s="25"/>
      <c r="K10" s="30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" x14ac:dyDescent="0.25">
      <c r="A12" s="5"/>
      <c r="B12" s="6" t="s">
        <v>11</v>
      </c>
      <c r="C12" s="7"/>
      <c r="D12" s="5"/>
      <c r="E12" s="8"/>
      <c r="F12" s="8"/>
      <c r="G12" s="9"/>
      <c r="H12" s="5"/>
      <c r="I12" s="5"/>
      <c r="J12" s="5"/>
      <c r="K12" s="5"/>
    </row>
    <row r="13" spans="1:11" ht="18" x14ac:dyDescent="0.25">
      <c r="A13" s="5"/>
      <c r="B13" s="6" t="s">
        <v>12</v>
      </c>
      <c r="C13" s="6" t="s">
        <v>26</v>
      </c>
      <c r="D13" s="10" t="s">
        <v>27</v>
      </c>
      <c r="E13" s="8"/>
      <c r="F13" s="8"/>
      <c r="G13" s="9"/>
      <c r="H13" s="11">
        <f>ROUND(IF(OR((((50/($E13+0.24))-[1]Konstanten!$G$5)/[1]Konstanten!$H$5)&lt;0,$E13=""),0,(((50/($E13+0.24))-[1]Konstanten!$G$5)/[1]Konstanten!$H$5)),0)</f>
        <v>0</v>
      </c>
      <c r="I13" s="11">
        <f>ROUND(IF(((SQRT($F13)-[1]Konstanten!$G$6)/[1]Konstanten!$H$6)&lt;0,0,((SQRT($F13)-[1]Konstanten!$G$6)/[1]Konstanten!$H$6)),0)</f>
        <v>0</v>
      </c>
      <c r="J13" s="11">
        <f>ROUND(IF(((SQRT($G13)-[1]Konstanten!$G$8)/[1]Konstanten!$H$8)&lt;0,0,((SQRT($G13)-[1]Konstanten!$G$8)/[1]Konstanten!$H$8)),0)</f>
        <v>0</v>
      </c>
      <c r="K13" s="12">
        <f>SUM(H13:J13)</f>
        <v>0</v>
      </c>
    </row>
    <row r="14" spans="1:11" ht="15.75" x14ac:dyDescent="0.25">
      <c r="A14" s="5"/>
      <c r="B14" s="5"/>
      <c r="C14" s="5"/>
      <c r="D14" s="36">
        <v>2011</v>
      </c>
      <c r="E14" s="8"/>
      <c r="F14" s="8"/>
      <c r="G14" s="9"/>
      <c r="H14" s="5"/>
      <c r="I14" s="5"/>
      <c r="J14" s="5"/>
      <c r="K14" s="5"/>
    </row>
    <row r="15" spans="1:11" ht="47.25" x14ac:dyDescent="0.25">
      <c r="A15" s="5" t="s">
        <v>13</v>
      </c>
      <c r="B15" s="5" t="s">
        <v>14</v>
      </c>
      <c r="C15" s="5" t="s">
        <v>15</v>
      </c>
      <c r="D15" s="5" t="s">
        <v>16</v>
      </c>
      <c r="E15" s="13" t="s">
        <v>17</v>
      </c>
      <c r="F15" s="14" t="s">
        <v>18</v>
      </c>
      <c r="G15" s="15" t="s">
        <v>19</v>
      </c>
      <c r="H15" s="16" t="s">
        <v>20</v>
      </c>
      <c r="I15" s="17" t="s">
        <v>21</v>
      </c>
      <c r="J15" s="17" t="s">
        <v>22</v>
      </c>
      <c r="K15" s="18" t="s">
        <v>23</v>
      </c>
    </row>
    <row r="16" spans="1:11" ht="15.75" x14ac:dyDescent="0.25">
      <c r="A16" s="19" t="s">
        <v>24</v>
      </c>
      <c r="B16" s="37" t="s">
        <v>117</v>
      </c>
      <c r="C16" s="37" t="s">
        <v>279</v>
      </c>
      <c r="D16" s="37" t="s">
        <v>81</v>
      </c>
      <c r="E16" s="21">
        <v>8.1999999999999993</v>
      </c>
      <c r="F16" s="21">
        <v>3.12</v>
      </c>
      <c r="G16" s="22">
        <v>14</v>
      </c>
      <c r="H16" s="23">
        <f>ROUND(IF(OR((((50/($E16+0.24))-[2]Konstanten!$G$5)/[2]Konstanten!$H$5)&lt;0,$E16=""),0,(((50/($E16+0.24))-[2]Konstanten!$G$5)/[2]Konstanten!$H$5)),0)</f>
        <v>345</v>
      </c>
      <c r="I16" s="23">
        <f>ROUND(IF(((SQRT($F16)-[2]Konstanten!$G$6)/[2]Konstanten!$H$6)&lt;0,0,((SQRT($F16)-[2]Konstanten!$G$6)/[2]Konstanten!$H$6)),0)</f>
        <v>323</v>
      </c>
      <c r="J16" s="23">
        <f>ROUND(IF(((SQRT($G16)-[2]Konstanten!$G$8)/[2]Konstanten!$H$8)&lt;0,0,((SQRT($G16)-[2]Konstanten!$G$8)/[2]Konstanten!$H$8)),0)</f>
        <v>197</v>
      </c>
      <c r="K16" s="24">
        <f t="shared" ref="K16:K22" si="0">SUM(H16:J16)</f>
        <v>865</v>
      </c>
    </row>
    <row r="17" spans="1:11" ht="15.75" x14ac:dyDescent="0.25">
      <c r="A17" s="19" t="s">
        <v>25</v>
      </c>
      <c r="B17" s="38" t="s">
        <v>207</v>
      </c>
      <c r="C17" s="37" t="s">
        <v>206</v>
      </c>
      <c r="D17" s="37" t="s">
        <v>191</v>
      </c>
      <c r="E17" s="21">
        <v>10.1</v>
      </c>
      <c r="F17" s="21">
        <v>2.65</v>
      </c>
      <c r="G17" s="22">
        <v>16</v>
      </c>
      <c r="H17" s="23">
        <f>ROUND(IF(OR((((50/($E17+0.24))-[2]Konstanten!$G$5)/[2]Konstanten!$H$5)&lt;0,$E17=""),0,(((50/($E17+0.24))-[2]Konstanten!$G$5)/[2]Konstanten!$H$5)),0)</f>
        <v>180</v>
      </c>
      <c r="I17" s="23">
        <f>ROUND(IF(((SQRT($F17)-[2]Konstanten!$G$6)/[2]Konstanten!$H$6)&lt;0,0,((SQRT($F17)-[2]Konstanten!$G$6)/[2]Konstanten!$H$6)),0)</f>
        <v>257</v>
      </c>
      <c r="J17" s="23">
        <f>ROUND(IF(((SQRT($G17)-[2]Konstanten!$G$8)/[2]Konstanten!$H$8)&lt;0,0,((SQRT($G17)-[2]Konstanten!$G$8)/[2]Konstanten!$H$8)),0)</f>
        <v>226</v>
      </c>
      <c r="K17" s="24">
        <f t="shared" si="0"/>
        <v>663</v>
      </c>
    </row>
    <row r="18" spans="1:11" ht="15.75" x14ac:dyDescent="0.25">
      <c r="A18" s="19" t="s">
        <v>124</v>
      </c>
      <c r="B18" s="37" t="s">
        <v>201</v>
      </c>
      <c r="C18" s="37" t="s">
        <v>202</v>
      </c>
      <c r="D18" s="37" t="s">
        <v>191</v>
      </c>
      <c r="E18" s="21">
        <v>9.6</v>
      </c>
      <c r="F18" s="21">
        <v>2.5</v>
      </c>
      <c r="G18" s="22">
        <v>14</v>
      </c>
      <c r="H18" s="23">
        <f>ROUND(IF(OR((((50/($E18+0.24))-[2]Konstanten!$G$5)/[2]Konstanten!$H$5)&lt;0,$E18=""),0,(((50/($E18+0.24))-[2]Konstanten!$G$5)/[2]Konstanten!$H$5)),0)</f>
        <v>217</v>
      </c>
      <c r="I18" s="23">
        <f>ROUND(IF(((SQRT($F18)-[2]Konstanten!$G$6)/[2]Konstanten!$H$6)&lt;0,0,((SQRT($F18)-[2]Konstanten!$G$6)/[2]Konstanten!$H$6)),0)</f>
        <v>234</v>
      </c>
      <c r="J18" s="23">
        <f>ROUND(IF(((SQRT($G18)-[2]Konstanten!$G$8)/[2]Konstanten!$H$8)&lt;0,0,((SQRT($G18)-[2]Konstanten!$G$8)/[2]Konstanten!$H$8)),0)</f>
        <v>197</v>
      </c>
      <c r="K18" s="24">
        <f t="shared" si="0"/>
        <v>648</v>
      </c>
    </row>
    <row r="19" spans="1:11" ht="15.75" x14ac:dyDescent="0.25">
      <c r="A19" s="19" t="s">
        <v>125</v>
      </c>
      <c r="B19" s="37" t="s">
        <v>196</v>
      </c>
      <c r="C19" s="37" t="s">
        <v>197</v>
      </c>
      <c r="D19" s="37" t="s">
        <v>191</v>
      </c>
      <c r="E19" s="21">
        <v>10.199999999999999</v>
      </c>
      <c r="F19" s="21">
        <v>2.6</v>
      </c>
      <c r="G19" s="22">
        <v>14</v>
      </c>
      <c r="H19" s="23">
        <f>ROUND(IF(OR((((50/($E19+0.24))-[2]Konstanten!$G$5)/[2]Konstanten!$H$5)&lt;0,$E19=""),0,(((50/($E19+0.24))-[2]Konstanten!$G$5)/[2]Konstanten!$H$5)),0)</f>
        <v>173</v>
      </c>
      <c r="I19" s="23">
        <f>ROUND(IF(((SQRT($F19)-[2]Konstanten!$G$6)/[2]Konstanten!$H$6)&lt;0,0,((SQRT($F19)-[2]Konstanten!$G$6)/[2]Konstanten!$H$6)),0)</f>
        <v>249</v>
      </c>
      <c r="J19" s="23">
        <f>ROUND(IF(((SQRT($G19)-[2]Konstanten!$G$8)/[2]Konstanten!$H$8)&lt;0,0,((SQRT($G19)-[2]Konstanten!$G$8)/[2]Konstanten!$H$8)),0)</f>
        <v>197</v>
      </c>
      <c r="K19" s="24">
        <f t="shared" si="0"/>
        <v>619</v>
      </c>
    </row>
    <row r="20" spans="1:11" ht="15.75" x14ac:dyDescent="0.25">
      <c r="A20" s="19" t="s">
        <v>128</v>
      </c>
      <c r="B20" s="37" t="s">
        <v>175</v>
      </c>
      <c r="C20" s="37" t="s">
        <v>172</v>
      </c>
      <c r="D20" s="37" t="s">
        <v>176</v>
      </c>
      <c r="E20" s="21">
        <v>10.1</v>
      </c>
      <c r="F20" s="21">
        <v>2.75</v>
      </c>
      <c r="G20" s="22">
        <v>9.5</v>
      </c>
      <c r="H20" s="23">
        <f>ROUND(IF(OR((((50/($E20+0.24))-[2]Konstanten!$G$5)/[2]Konstanten!$H$5)&lt;0,$E20=""),0,(((50/($E20+0.24))-[2]Konstanten!$G$5)/[2]Konstanten!$H$5)),0)</f>
        <v>180</v>
      </c>
      <c r="I20" s="23">
        <f>ROUND(IF(((SQRT($F20)-[2]Konstanten!$G$6)/[2]Konstanten!$H$6)&lt;0,0,((SQRT($F20)-[2]Konstanten!$G$6)/[2]Konstanten!$H$6)),0)</f>
        <v>272</v>
      </c>
      <c r="J20" s="23">
        <f>ROUND(IF(((SQRT($G20)-[2]Konstanten!$G$8)/[2]Konstanten!$H$8)&lt;0,0,((SQRT($G20)-[2]Konstanten!$G$8)/[2]Konstanten!$H$8)),0)</f>
        <v>121</v>
      </c>
      <c r="K20" s="24">
        <f t="shared" si="0"/>
        <v>573</v>
      </c>
    </row>
    <row r="21" spans="1:11" ht="15.75" x14ac:dyDescent="0.25">
      <c r="A21" s="19" t="s">
        <v>129</v>
      </c>
      <c r="B21" s="37" t="s">
        <v>200</v>
      </c>
      <c r="C21" s="37" t="s">
        <v>178</v>
      </c>
      <c r="D21" s="37" t="s">
        <v>191</v>
      </c>
      <c r="E21" s="21">
        <v>10.3</v>
      </c>
      <c r="F21" s="21">
        <v>2.65</v>
      </c>
      <c r="G21" s="22">
        <v>10</v>
      </c>
      <c r="H21" s="23">
        <f>ROUND(IF(OR((((50/($E21+0.24))-[2]Konstanten!$G$5)/[2]Konstanten!$H$5)&lt;0,$E21=""),0,(((50/($E21+0.24))-[2]Konstanten!$G$5)/[2]Konstanten!$H$5)),0)</f>
        <v>166</v>
      </c>
      <c r="I21" s="23">
        <f>ROUND(IF(((SQRT($F21)-[2]Konstanten!$G$6)/[2]Konstanten!$H$6)&lt;0,0,((SQRT($F21)-[2]Konstanten!$G$6)/[2]Konstanten!$H$6)),0)</f>
        <v>257</v>
      </c>
      <c r="J21" s="23">
        <f>ROUND(IF(((SQRT($G21)-[2]Konstanten!$G$8)/[2]Konstanten!$H$8)&lt;0,0,((SQRT($G21)-[2]Konstanten!$G$8)/[2]Konstanten!$H$8)),0)</f>
        <v>130</v>
      </c>
      <c r="K21" s="24">
        <f t="shared" si="0"/>
        <v>553</v>
      </c>
    </row>
    <row r="22" spans="1:11" ht="15.75" x14ac:dyDescent="0.25">
      <c r="A22" s="19" t="s">
        <v>130</v>
      </c>
      <c r="B22" s="37" t="s">
        <v>198</v>
      </c>
      <c r="C22" s="37" t="s">
        <v>199</v>
      </c>
      <c r="D22" s="37" t="s">
        <v>191</v>
      </c>
      <c r="E22" s="21">
        <v>10.8</v>
      </c>
      <c r="F22" s="21">
        <v>2.35</v>
      </c>
      <c r="G22" s="22">
        <v>7.5</v>
      </c>
      <c r="H22" s="23">
        <f>ROUND(IF(OR((((50/($E22+0.24))-[2]Konstanten!$G$5)/[2]Konstanten!$H$5)&lt;0,$E22=""),0,(((50/($E22+0.24))-[2]Konstanten!$G$5)/[2]Konstanten!$H$5)),0)</f>
        <v>133</v>
      </c>
      <c r="I22" s="23">
        <f>ROUND(IF(((SQRT($F22)-[2]Konstanten!$G$6)/[2]Konstanten!$H$6)&lt;0,0,((SQRT($F22)-[2]Konstanten!$G$6)/[2]Konstanten!$H$6)),0)</f>
        <v>211</v>
      </c>
      <c r="J22" s="23">
        <f>ROUND(IF(((SQRT($G22)-[2]Konstanten!$G$8)/[2]Konstanten!$H$8)&lt;0,0,((SQRT($G22)-[2]Konstanten!$G$8)/[2]Konstanten!$H$8)),0)</f>
        <v>82</v>
      </c>
      <c r="K22" s="24">
        <f t="shared" si="0"/>
        <v>426</v>
      </c>
    </row>
    <row r="23" spans="1:11" x14ac:dyDescent="0.2">
      <c r="A23" s="25"/>
      <c r="B23" s="25"/>
      <c r="C23" s="25"/>
      <c r="D23" s="25"/>
      <c r="E23" s="28"/>
      <c r="F23" s="28"/>
      <c r="G23" s="29"/>
      <c r="H23" s="25"/>
      <c r="I23" s="25"/>
      <c r="J23" s="25"/>
      <c r="K23" s="30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" x14ac:dyDescent="0.25">
      <c r="A25" s="5"/>
      <c r="B25" s="6" t="s">
        <v>11</v>
      </c>
      <c r="C25" s="7"/>
      <c r="D25" s="5"/>
      <c r="E25" s="8"/>
      <c r="F25" s="8"/>
      <c r="G25" s="9"/>
      <c r="H25" s="5"/>
      <c r="I25" s="5"/>
      <c r="J25" s="5"/>
      <c r="K25" s="5"/>
    </row>
    <row r="26" spans="1:11" ht="18" x14ac:dyDescent="0.25">
      <c r="A26" s="5"/>
      <c r="B26" s="6" t="s">
        <v>12</v>
      </c>
      <c r="C26" s="6" t="s">
        <v>28</v>
      </c>
      <c r="D26" s="10" t="s">
        <v>29</v>
      </c>
      <c r="E26" s="8"/>
      <c r="F26" s="8"/>
      <c r="G26" s="9"/>
      <c r="H26" s="11">
        <f>ROUND(IF(OR((((50/($E26+0.24))-[3]Konstanten!$G$5)/[3]Konstanten!$H$5)&lt;0,$E26=""),0,(((50/($E26+0.24))-[3]Konstanten!$G$5)/[3]Konstanten!$H$5)),0)</f>
        <v>0</v>
      </c>
      <c r="I26" s="11">
        <f>ROUND(IF(((SQRT($F26)-[3]Konstanten!$G$6)/[3]Konstanten!$H$6)&lt;0,0,((SQRT($F26)-[3]Konstanten!$G$6)/[3]Konstanten!$H$6)),0)</f>
        <v>0</v>
      </c>
      <c r="J26" s="11">
        <f>ROUND(IF(((SQRT($G26)-[3]Konstanten!$G$8)/[3]Konstanten!$H$8)&lt;0,0,((SQRT($G26)-[3]Konstanten!$G$8)/[3]Konstanten!$H$8)),0)</f>
        <v>0</v>
      </c>
      <c r="K26" s="12">
        <f>SUM(H26:J26)</f>
        <v>0</v>
      </c>
    </row>
    <row r="27" spans="1:11" ht="15.75" x14ac:dyDescent="0.25">
      <c r="A27" s="5"/>
      <c r="B27" s="5"/>
      <c r="C27" s="5"/>
      <c r="D27" s="36">
        <v>2010</v>
      </c>
      <c r="E27" s="8"/>
      <c r="F27" s="8"/>
      <c r="G27" s="9"/>
      <c r="H27" s="5"/>
      <c r="I27" s="5"/>
      <c r="J27" s="5"/>
      <c r="K27" s="5"/>
    </row>
    <row r="28" spans="1:11" ht="47.25" x14ac:dyDescent="0.25">
      <c r="A28" s="5" t="s">
        <v>13</v>
      </c>
      <c r="B28" s="5" t="s">
        <v>14</v>
      </c>
      <c r="C28" s="5" t="s">
        <v>15</v>
      </c>
      <c r="D28" s="5" t="s">
        <v>16</v>
      </c>
      <c r="E28" s="13" t="s">
        <v>17</v>
      </c>
      <c r="F28" s="14" t="s">
        <v>18</v>
      </c>
      <c r="G28" s="15" t="s">
        <v>19</v>
      </c>
      <c r="H28" s="16" t="s">
        <v>20</v>
      </c>
      <c r="I28" s="17" t="s">
        <v>21</v>
      </c>
      <c r="J28" s="17" t="s">
        <v>22</v>
      </c>
      <c r="K28" s="18" t="s">
        <v>23</v>
      </c>
    </row>
    <row r="29" spans="1:11" ht="15.75" x14ac:dyDescent="0.25">
      <c r="A29" s="19" t="s">
        <v>24</v>
      </c>
      <c r="B29" s="25" t="s">
        <v>162</v>
      </c>
      <c r="C29" s="20" t="s">
        <v>163</v>
      </c>
      <c r="D29" s="20" t="s">
        <v>158</v>
      </c>
      <c r="E29" s="21">
        <v>9.4</v>
      </c>
      <c r="F29" s="21">
        <v>3.02</v>
      </c>
      <c r="G29" s="22">
        <v>17</v>
      </c>
      <c r="H29" s="23">
        <f>ROUND(IF(OR((((50/($E29+0.24))-[2]Konstanten!$G$5)/[2]Konstanten!$H$5)&lt;0,$E29=""),0,(((50/($E29+0.24))-[2]Konstanten!$G$5)/[2]Konstanten!$H$5)),0)</f>
        <v>233</v>
      </c>
      <c r="I29" s="23">
        <f>ROUND(IF(((SQRT($F29)-[2]Konstanten!$G$6)/[2]Konstanten!$H$6)&lt;0,0,((SQRT($F29)-[2]Konstanten!$G$6)/[2]Konstanten!$H$6)),0)</f>
        <v>310</v>
      </c>
      <c r="J29" s="23">
        <f>ROUND(IF(((SQRT($G29)-[2]Konstanten!$G$8)/[2]Konstanten!$H$8)&lt;0,0,((SQRT($G29)-[2]Konstanten!$G$8)/[2]Konstanten!$H$8)),0)</f>
        <v>240</v>
      </c>
      <c r="K29" s="24">
        <f t="shared" ref="K29:K35" si="1">SUM(H29:J29)</f>
        <v>783</v>
      </c>
    </row>
    <row r="30" spans="1:11" ht="15.75" x14ac:dyDescent="0.25">
      <c r="A30" s="19" t="s">
        <v>25</v>
      </c>
      <c r="B30" s="25" t="s">
        <v>181</v>
      </c>
      <c r="C30" s="20" t="s">
        <v>182</v>
      </c>
      <c r="D30" s="20" t="s">
        <v>176</v>
      </c>
      <c r="E30" s="21">
        <v>9.3000000000000007</v>
      </c>
      <c r="F30" s="21">
        <v>2.91</v>
      </c>
      <c r="G30" s="22">
        <v>10</v>
      </c>
      <c r="H30" s="23">
        <f>ROUND(IF(OR((((50/($E30+0.24))-[2]Konstanten!$G$5)/[2]Konstanten!$H$5)&lt;0,$E30=""),0,(((50/($E30+0.24))-[2]Konstanten!$G$5)/[2]Konstanten!$H$5)),0)</f>
        <v>241</v>
      </c>
      <c r="I30" s="23">
        <f>ROUND(IF(((SQRT($F30)-[2]Konstanten!$G$6)/[2]Konstanten!$H$6)&lt;0,0,((SQRT($F30)-[2]Konstanten!$G$6)/[2]Konstanten!$H$6)),0)</f>
        <v>294</v>
      </c>
      <c r="J30" s="23">
        <f>ROUND(IF(((SQRT($G30)-[2]Konstanten!$G$8)/[2]Konstanten!$H$8)&lt;0,0,((SQRT($G30)-[2]Konstanten!$G$8)/[2]Konstanten!$H$8)),0)</f>
        <v>130</v>
      </c>
      <c r="K30" s="24">
        <f t="shared" si="1"/>
        <v>665</v>
      </c>
    </row>
    <row r="31" spans="1:11" ht="15.75" x14ac:dyDescent="0.25">
      <c r="A31" s="19" t="s">
        <v>124</v>
      </c>
      <c r="B31" s="25" t="s">
        <v>170</v>
      </c>
      <c r="C31" s="20" t="s">
        <v>173</v>
      </c>
      <c r="D31" s="20" t="s">
        <v>171</v>
      </c>
      <c r="E31" s="21">
        <v>9.8000000000000007</v>
      </c>
      <c r="F31" s="21">
        <v>2.92</v>
      </c>
      <c r="G31" s="22">
        <v>11</v>
      </c>
      <c r="H31" s="23">
        <f>ROUND(IF(OR((((50/($E31+0.24))-[2]Konstanten!$G$5)/[2]Konstanten!$H$5)&lt;0,$E31=""),0,(((50/($E31+0.24))-[2]Konstanten!$G$5)/[2]Konstanten!$H$5)),0)</f>
        <v>202</v>
      </c>
      <c r="I31" s="23">
        <f>ROUND(IF(((SQRT($F31)-[2]Konstanten!$G$6)/[2]Konstanten!$H$6)&lt;0,0,((SQRT($F31)-[2]Konstanten!$G$6)/[2]Konstanten!$H$6)),0)</f>
        <v>296</v>
      </c>
      <c r="J31" s="23">
        <f>ROUND(IF(((SQRT($G31)-[2]Konstanten!$G$8)/[2]Konstanten!$H$8)&lt;0,0,((SQRT($G31)-[2]Konstanten!$G$8)/[2]Konstanten!$H$8)),0)</f>
        <v>148</v>
      </c>
      <c r="K31" s="24">
        <f t="shared" si="1"/>
        <v>646</v>
      </c>
    </row>
    <row r="32" spans="1:11" ht="15.75" x14ac:dyDescent="0.25">
      <c r="A32" s="19" t="s">
        <v>125</v>
      </c>
      <c r="B32" s="37" t="s">
        <v>244</v>
      </c>
      <c r="C32" s="37" t="s">
        <v>245</v>
      </c>
      <c r="D32" s="37" t="s">
        <v>70</v>
      </c>
      <c r="E32" s="21">
        <v>9.4</v>
      </c>
      <c r="F32" s="21">
        <v>2.78</v>
      </c>
      <c r="G32" s="22">
        <v>9.5</v>
      </c>
      <c r="H32" s="23">
        <f>ROUND(IF(OR((((50/($E32+0.24))-[2]Konstanten!$G$5)/[2]Konstanten!$H$5)&lt;0,$E32=""),0,(((50/($E32+0.24))-[2]Konstanten!$G$5)/[2]Konstanten!$H$5)),0)</f>
        <v>233</v>
      </c>
      <c r="I32" s="23">
        <f>ROUND(IF(((SQRT($F32)-[2]Konstanten!$G$6)/[2]Konstanten!$H$6)&lt;0,0,((SQRT($F32)-[2]Konstanten!$G$6)/[2]Konstanten!$H$6)),0)</f>
        <v>276</v>
      </c>
      <c r="J32" s="23">
        <f>ROUND(IF(((SQRT($G32)-[2]Konstanten!$G$8)/[2]Konstanten!$H$8)&lt;0,0,((SQRT($G32)-[2]Konstanten!$G$8)/[2]Konstanten!$H$8)),0)</f>
        <v>121</v>
      </c>
      <c r="K32" s="24">
        <f t="shared" si="1"/>
        <v>630</v>
      </c>
    </row>
    <row r="33" spans="1:11" ht="15.75" x14ac:dyDescent="0.25">
      <c r="A33" s="19" t="s">
        <v>128</v>
      </c>
      <c r="B33" s="37" t="s">
        <v>189</v>
      </c>
      <c r="C33" s="37" t="s">
        <v>190</v>
      </c>
      <c r="D33" s="37" t="s">
        <v>191</v>
      </c>
      <c r="E33" s="21">
        <v>10.01</v>
      </c>
      <c r="F33" s="21">
        <v>2.66</v>
      </c>
      <c r="G33" s="22">
        <v>10</v>
      </c>
      <c r="H33" s="23">
        <f>ROUND(IF(OR((((50/($E33+0.24))-[2]Konstanten!$G$5)/[2]Konstanten!$H$5)&lt;0,$E33=""),0,(((50/($E33+0.24))-[2]Konstanten!$G$5)/[2]Konstanten!$H$5)),0)</f>
        <v>186</v>
      </c>
      <c r="I33" s="23">
        <f>ROUND(IF(((SQRT($F33)-[2]Konstanten!$G$6)/[2]Konstanten!$H$6)&lt;0,0,((SQRT($F33)-[2]Konstanten!$G$6)/[2]Konstanten!$H$6)),0)</f>
        <v>258</v>
      </c>
      <c r="J33" s="23">
        <f>ROUND(IF(((SQRT($G33)-[2]Konstanten!$G$8)/[2]Konstanten!$H$8)&lt;0,0,((SQRT($G33)-[2]Konstanten!$G$8)/[2]Konstanten!$H$8)),0)</f>
        <v>130</v>
      </c>
      <c r="K33" s="24">
        <f t="shared" si="1"/>
        <v>574</v>
      </c>
    </row>
    <row r="34" spans="1:11" ht="15.75" x14ac:dyDescent="0.25">
      <c r="A34" s="19" t="s">
        <v>129</v>
      </c>
      <c r="B34" s="25" t="s">
        <v>169</v>
      </c>
      <c r="C34" s="20" t="s">
        <v>172</v>
      </c>
      <c r="D34" s="20" t="s">
        <v>171</v>
      </c>
      <c r="E34" s="21">
        <v>9.8000000000000007</v>
      </c>
      <c r="F34" s="21">
        <v>2.5</v>
      </c>
      <c r="G34" s="22">
        <v>7</v>
      </c>
      <c r="H34" s="23">
        <f>ROUND(IF(OR((((50/($E34+0.24))-[2]Konstanten!$G$5)/[2]Konstanten!$H$5)&lt;0,$E34=""),0,(((50/($E34+0.24))-[2]Konstanten!$G$5)/[2]Konstanten!$H$5)),0)</f>
        <v>202</v>
      </c>
      <c r="I34" s="23">
        <f>ROUND(IF(((SQRT($F34)-[2]Konstanten!$G$6)/[2]Konstanten!$H$6)&lt;0,0,((SQRT($F34)-[2]Konstanten!$G$6)/[2]Konstanten!$H$6)),0)</f>
        <v>234</v>
      </c>
      <c r="J34" s="23">
        <f>ROUND(IF(((SQRT($G34)-[2]Konstanten!$G$8)/[2]Konstanten!$H$8)&lt;0,0,((SQRT($G34)-[2]Konstanten!$G$8)/[2]Konstanten!$H$8)),0)</f>
        <v>71</v>
      </c>
      <c r="K34" s="24">
        <f t="shared" si="1"/>
        <v>507</v>
      </c>
    </row>
    <row r="35" spans="1:11" ht="15.75" x14ac:dyDescent="0.25">
      <c r="A35" s="19" t="s">
        <v>130</v>
      </c>
      <c r="B35" s="20" t="s">
        <v>177</v>
      </c>
      <c r="C35" s="20" t="s">
        <v>178</v>
      </c>
      <c r="D35" s="20" t="s">
        <v>176</v>
      </c>
      <c r="E35" s="21">
        <v>10</v>
      </c>
      <c r="F35" s="21">
        <v>2.15</v>
      </c>
      <c r="G35" s="22">
        <v>6.5</v>
      </c>
      <c r="H35" s="23">
        <f>ROUND(IF(OR((((50/($E35+0.24))-[2]Konstanten!$G$5)/[2]Konstanten!$H$5)&lt;0,$E35=""),0,(((50/($E35+0.24))-[2]Konstanten!$G$5)/[2]Konstanten!$H$5)),0)</f>
        <v>187</v>
      </c>
      <c r="I35" s="23">
        <f>ROUND(IF(((SQRT($F35)-[2]Konstanten!$G$6)/[2]Konstanten!$H$6)&lt;0,0,((SQRT($F35)-[2]Konstanten!$G$6)/[2]Konstanten!$H$6)),0)</f>
        <v>179</v>
      </c>
      <c r="J35" s="23">
        <f>ROUND(IF(((SQRT($G35)-[2]Konstanten!$G$8)/[2]Konstanten!$H$8)&lt;0,0,((SQRT($G35)-[2]Konstanten!$G$8)/[2]Konstanten!$H$8)),0)</f>
        <v>60</v>
      </c>
      <c r="K35" s="24">
        <f t="shared" si="1"/>
        <v>426</v>
      </c>
    </row>
    <row r="36" spans="1:11" ht="15.75" x14ac:dyDescent="0.25">
      <c r="A36" s="19"/>
      <c r="B36" s="31"/>
      <c r="C36" s="32"/>
      <c r="D36" s="32"/>
      <c r="E36" s="21"/>
      <c r="F36" s="21"/>
      <c r="G36" s="22"/>
      <c r="H36" s="23"/>
      <c r="I36" s="23"/>
      <c r="J36" s="23"/>
      <c r="K36" s="24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x14ac:dyDescent="0.25">
      <c r="A38" s="5"/>
      <c r="B38" s="6" t="s">
        <v>11</v>
      </c>
      <c r="C38" s="7"/>
      <c r="D38" s="5"/>
      <c r="E38" s="8"/>
      <c r="F38" s="8"/>
      <c r="G38" s="9"/>
      <c r="H38" s="5"/>
      <c r="I38" s="5"/>
      <c r="J38" s="5"/>
      <c r="K38" s="5"/>
    </row>
    <row r="39" spans="1:11" ht="18" x14ac:dyDescent="0.25">
      <c r="A39" s="5"/>
      <c r="B39" s="6" t="s">
        <v>12</v>
      </c>
      <c r="C39" s="6" t="s">
        <v>30</v>
      </c>
      <c r="D39" s="10" t="s">
        <v>31</v>
      </c>
      <c r="E39" s="8"/>
      <c r="F39" s="8"/>
      <c r="G39" s="9"/>
      <c r="H39" s="11">
        <f>ROUND(IF(OR((((50/($E39+0.24))-[4]Konstanten!$G$5)/[4]Konstanten!$H$5)&lt;0,$E39=""),0,(((50/($E39+0.24))-[4]Konstanten!$G$5)/[4]Konstanten!$H$5)),0)</f>
        <v>0</v>
      </c>
      <c r="I39" s="11">
        <f>ROUND(IF(((SQRT($F39)-[4]Konstanten!$G$6)/[4]Konstanten!$H$6)&lt;0,0,((SQRT($F39)-[4]Konstanten!$G$6)/[4]Konstanten!$H$6)),0)</f>
        <v>0</v>
      </c>
      <c r="J39" s="11">
        <f>ROUND(IF(((SQRT($G39)-[4]Konstanten!$G$8)/[4]Konstanten!$H$8)&lt;0,0,((SQRT($G39)-[4]Konstanten!$G$8)/[4]Konstanten!$H$8)),0)</f>
        <v>0</v>
      </c>
      <c r="K39" s="12">
        <f>SUM(H39:J39)</f>
        <v>0</v>
      </c>
    </row>
    <row r="40" spans="1:11" ht="15.75" x14ac:dyDescent="0.25">
      <c r="A40" s="5"/>
      <c r="B40" s="5"/>
      <c r="C40" s="5"/>
      <c r="D40" s="36">
        <v>2009</v>
      </c>
      <c r="E40" s="8"/>
      <c r="F40" s="8"/>
      <c r="G40" s="9"/>
      <c r="H40" s="5"/>
      <c r="I40" s="5"/>
      <c r="J40" s="5"/>
      <c r="K40" s="5"/>
    </row>
    <row r="41" spans="1:11" ht="47.25" x14ac:dyDescent="0.25">
      <c r="A41" s="5" t="s">
        <v>13</v>
      </c>
      <c r="B41" s="5" t="s">
        <v>14</v>
      </c>
      <c r="C41" s="5" t="s">
        <v>15</v>
      </c>
      <c r="D41" s="5" t="s">
        <v>16</v>
      </c>
      <c r="E41" s="13" t="s">
        <v>17</v>
      </c>
      <c r="F41" s="14" t="s">
        <v>18</v>
      </c>
      <c r="G41" s="15" t="s">
        <v>19</v>
      </c>
      <c r="H41" s="16" t="s">
        <v>20</v>
      </c>
      <c r="I41" s="17" t="s">
        <v>21</v>
      </c>
      <c r="J41" s="17" t="s">
        <v>22</v>
      </c>
      <c r="K41" s="18" t="s">
        <v>23</v>
      </c>
    </row>
    <row r="42" spans="1:11" ht="15.75" x14ac:dyDescent="0.25">
      <c r="A42" s="19" t="s">
        <v>24</v>
      </c>
      <c r="B42" s="37" t="s">
        <v>249</v>
      </c>
      <c r="C42" s="37" t="s">
        <v>178</v>
      </c>
      <c r="D42" s="37" t="s">
        <v>70</v>
      </c>
      <c r="E42" s="21">
        <v>8.4</v>
      </c>
      <c r="F42" s="21">
        <v>3.43</v>
      </c>
      <c r="G42" s="22">
        <v>13</v>
      </c>
      <c r="H42" s="23">
        <f>ROUND(IF(OR((((50/($E42+0.24))-[4]Konstanten!$G$5)/[4]Konstanten!$H$5)&lt;0,$E42=""),0,(((50/($E42+0.24))-[4]Konstanten!$G$5)/[4]Konstanten!$H$5)),0)</f>
        <v>324</v>
      </c>
      <c r="I42" s="23">
        <f>ROUND(IF(((SQRT($F42)-[4]Konstanten!$G$6)/[4]Konstanten!$H$6)&lt;0,0,((SQRT($F42)-[4]Konstanten!$G$6)/[4]Konstanten!$H$6)),0)</f>
        <v>365</v>
      </c>
      <c r="J42" s="23">
        <f>ROUND(IF(((SQRT($G42)-[4]Konstanten!$G$8)/[4]Konstanten!$H$8)&lt;0,0,((SQRT($G42)-[4]Konstanten!$G$8)/[4]Konstanten!$H$8)),0)</f>
        <v>181</v>
      </c>
      <c r="K42" s="24">
        <f t="shared" ref="K42:K47" si="2">SUM(H42:J42)</f>
        <v>870</v>
      </c>
    </row>
    <row r="43" spans="1:11" ht="15.75" x14ac:dyDescent="0.25">
      <c r="A43" s="19" t="s">
        <v>25</v>
      </c>
      <c r="B43" s="37" t="s">
        <v>149</v>
      </c>
      <c r="C43" s="37" t="s">
        <v>150</v>
      </c>
      <c r="D43" s="37" t="s">
        <v>147</v>
      </c>
      <c r="E43" s="21">
        <v>9.5</v>
      </c>
      <c r="F43" s="21">
        <v>2.95</v>
      </c>
      <c r="G43" s="22">
        <v>18</v>
      </c>
      <c r="H43" s="23">
        <f>ROUND(IF(OR((((50/($E43+0.24))-[4]Konstanten!$G$5)/[4]Konstanten!$H$5)&lt;0,$E43=""),0,(((50/($E43+0.24))-[4]Konstanten!$G$5)/[4]Konstanten!$H$5)),0)</f>
        <v>225</v>
      </c>
      <c r="I43" s="23">
        <f>ROUND(IF(((SQRT($F43)-[4]Konstanten!$G$6)/[4]Konstanten!$H$6)&lt;0,0,((SQRT($F43)-[4]Konstanten!$G$6)/[4]Konstanten!$H$6)),0)</f>
        <v>300</v>
      </c>
      <c r="J43" s="23">
        <f>ROUND(IF(((SQRT($G43)-[4]Konstanten!$G$8)/[4]Konstanten!$H$8)&lt;0,0,((SQRT($G43)-[4]Konstanten!$G$8)/[4]Konstanten!$H$8)),0)</f>
        <v>254</v>
      </c>
      <c r="K43" s="24">
        <f t="shared" si="2"/>
        <v>779</v>
      </c>
    </row>
    <row r="44" spans="1:11" ht="15.75" x14ac:dyDescent="0.25">
      <c r="A44" s="19" t="s">
        <v>124</v>
      </c>
      <c r="B44" s="37" t="s">
        <v>246</v>
      </c>
      <c r="C44" s="37" t="s">
        <v>122</v>
      </c>
      <c r="D44" s="37" t="s">
        <v>70</v>
      </c>
      <c r="E44" s="21">
        <v>9.5</v>
      </c>
      <c r="F44" s="21">
        <v>2.74</v>
      </c>
      <c r="G44" s="22">
        <v>20</v>
      </c>
      <c r="H44" s="23">
        <f>ROUND(IF(OR((((50/($E44+0.24))-[4]Konstanten!$G$5)/[4]Konstanten!$H$5)&lt;0,$E44=""),0,(((50/($E44+0.24))-[4]Konstanten!$G$5)/[4]Konstanten!$H$5)),0)</f>
        <v>225</v>
      </c>
      <c r="I44" s="23">
        <f>ROUND(IF(((SQRT($F44)-[4]Konstanten!$G$6)/[4]Konstanten!$H$6)&lt;0,0,((SQRT($F44)-[4]Konstanten!$G$6)/[4]Konstanten!$H$6)),0)</f>
        <v>270</v>
      </c>
      <c r="J44" s="23">
        <f>ROUND(IF(((SQRT($G44)-[4]Konstanten!$G$8)/[4]Konstanten!$H$8)&lt;0,0,((SQRT($G44)-[4]Konstanten!$G$8)/[4]Konstanten!$H$8)),0)</f>
        <v>280</v>
      </c>
      <c r="K44" s="24">
        <f t="shared" si="2"/>
        <v>775</v>
      </c>
    </row>
    <row r="45" spans="1:11" ht="15.75" x14ac:dyDescent="0.25">
      <c r="A45" s="19" t="s">
        <v>125</v>
      </c>
      <c r="B45" s="20" t="s">
        <v>179</v>
      </c>
      <c r="C45" s="20" t="s">
        <v>180</v>
      </c>
      <c r="D45" s="20" t="s">
        <v>176</v>
      </c>
      <c r="E45" s="21">
        <v>9.4</v>
      </c>
      <c r="F45" s="21">
        <v>2.88</v>
      </c>
      <c r="G45" s="22">
        <v>12</v>
      </c>
      <c r="H45" s="23">
        <f>ROUND(IF(OR((((50/($E45+0.24))-[4]Konstanten!$G$5)/[4]Konstanten!$H$5)&lt;0,$E45=""),0,(((50/($E45+0.24))-[4]Konstanten!$G$5)/[4]Konstanten!$H$5)),0)</f>
        <v>233</v>
      </c>
      <c r="I45" s="23">
        <f>ROUND(IF(((SQRT($F45)-[4]Konstanten!$G$6)/[4]Konstanten!$H$6)&lt;0,0,((SQRT($F45)-[4]Konstanten!$G$6)/[4]Konstanten!$H$6)),0)</f>
        <v>290</v>
      </c>
      <c r="J45" s="23">
        <f>ROUND(IF(((SQRT($G45)-[4]Konstanten!$G$8)/[4]Konstanten!$H$8)&lt;0,0,((SQRT($G45)-[4]Konstanten!$G$8)/[4]Konstanten!$H$8)),0)</f>
        <v>165</v>
      </c>
      <c r="K45" s="24">
        <f t="shared" si="2"/>
        <v>688</v>
      </c>
    </row>
    <row r="46" spans="1:11" ht="15.75" x14ac:dyDescent="0.25">
      <c r="A46" s="19" t="s">
        <v>128</v>
      </c>
      <c r="B46" s="38" t="s">
        <v>247</v>
      </c>
      <c r="C46" s="37" t="s">
        <v>248</v>
      </c>
      <c r="D46" s="37" t="s">
        <v>70</v>
      </c>
      <c r="E46" s="21">
        <v>9.3000000000000007</v>
      </c>
      <c r="F46" s="21">
        <v>2.65</v>
      </c>
      <c r="G46" s="22">
        <v>12</v>
      </c>
      <c r="H46" s="23">
        <f>ROUND(IF(OR((((50/($E46+0.24))-[4]Konstanten!$G$5)/[4]Konstanten!$H$5)&lt;0,$E46=""),0,(((50/($E46+0.24))-[4]Konstanten!$G$5)/[4]Konstanten!$H$5)),0)</f>
        <v>241</v>
      </c>
      <c r="I46" s="23">
        <f>ROUND(IF(((SQRT($F46)-[4]Konstanten!$G$6)/[4]Konstanten!$H$6)&lt;0,0,((SQRT($F46)-[4]Konstanten!$G$6)/[4]Konstanten!$H$6)),0)</f>
        <v>257</v>
      </c>
      <c r="J46" s="23">
        <f>ROUND(IF(((SQRT($G46)-[4]Konstanten!$G$8)/[4]Konstanten!$H$8)&lt;0,0,((SQRT($G46)-[4]Konstanten!$G$8)/[4]Konstanten!$H$8)),0)</f>
        <v>165</v>
      </c>
      <c r="K46" s="24">
        <f t="shared" si="2"/>
        <v>663</v>
      </c>
    </row>
    <row r="47" spans="1:11" ht="15.75" x14ac:dyDescent="0.25">
      <c r="A47" s="19" t="s">
        <v>129</v>
      </c>
      <c r="B47" s="37" t="s">
        <v>192</v>
      </c>
      <c r="C47" s="37" t="s">
        <v>193</v>
      </c>
      <c r="D47" s="37" t="s">
        <v>191</v>
      </c>
      <c r="E47" s="21">
        <v>10.6</v>
      </c>
      <c r="F47" s="21">
        <v>2.48</v>
      </c>
      <c r="G47" s="22">
        <v>10</v>
      </c>
      <c r="H47" s="23">
        <f>ROUND(IF(OR((((50/($E47+0.24))-[4]Konstanten!$G$5)/[4]Konstanten!$H$5)&lt;0,$E47=""),0,(((50/($E47+0.24))-[4]Konstanten!$G$5)/[4]Konstanten!$H$5)),0)</f>
        <v>146</v>
      </c>
      <c r="I47" s="23">
        <f>ROUND(IF(((SQRT($F47)-[4]Konstanten!$G$6)/[4]Konstanten!$H$6)&lt;0,0,((SQRT($F47)-[4]Konstanten!$G$6)/[4]Konstanten!$H$6)),0)</f>
        <v>231</v>
      </c>
      <c r="J47" s="23">
        <f>ROUND(IF(((SQRT($G47)-[4]Konstanten!$G$8)/[4]Konstanten!$H$8)&lt;0,0,((SQRT($G47)-[4]Konstanten!$G$8)/[4]Konstanten!$H$8)),0)</f>
        <v>130</v>
      </c>
      <c r="K47" s="24">
        <f t="shared" si="2"/>
        <v>507</v>
      </c>
    </row>
    <row r="48" spans="1:11" ht="15.75" x14ac:dyDescent="0.25">
      <c r="A48" s="19"/>
      <c r="B48" s="25"/>
      <c r="C48" s="20"/>
      <c r="D48" s="20"/>
      <c r="E48" s="21"/>
      <c r="F48" s="21"/>
      <c r="G48" s="22"/>
      <c r="H48" s="23"/>
      <c r="I48" s="23"/>
      <c r="J48" s="23"/>
      <c r="K48" s="24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8" x14ac:dyDescent="0.25">
      <c r="A50" s="5"/>
      <c r="B50" s="6" t="s">
        <v>11</v>
      </c>
      <c r="C50" s="7"/>
      <c r="D50" s="5"/>
      <c r="E50" s="8"/>
      <c r="F50" s="8"/>
      <c r="G50" s="9"/>
      <c r="H50" s="5"/>
      <c r="I50" s="5"/>
      <c r="J50" s="5"/>
      <c r="K50" s="5"/>
    </row>
    <row r="51" spans="1:11" ht="18" x14ac:dyDescent="0.25">
      <c r="A51" s="5"/>
      <c r="B51" s="6" t="s">
        <v>12</v>
      </c>
      <c r="C51" s="6" t="s">
        <v>32</v>
      </c>
      <c r="D51" s="10" t="s">
        <v>33</v>
      </c>
      <c r="E51" s="8"/>
      <c r="F51" s="8"/>
      <c r="G51" s="9"/>
      <c r="H51" s="11">
        <f>ROUND(IF(OR((((50/($E51+0.24))-[5]Konstanten!$G$5)/[5]Konstanten!$H$5)&lt;0,$E51=""),0,(((50/($E51+0.24))-[5]Konstanten!$G$5)/[5]Konstanten!$H$5)),0)</f>
        <v>0</v>
      </c>
      <c r="I51" s="11">
        <f>ROUND(IF(((SQRT($F51)-[5]Konstanten!$G$6)/[5]Konstanten!$H$6)&lt;0,0,((SQRT($F51)-[5]Konstanten!$G$6)/[5]Konstanten!$H$6)),0)</f>
        <v>0</v>
      </c>
      <c r="J51" s="11">
        <f>ROUND(IF(((SQRT($G51)-[5]Konstanten!$G$8)/[5]Konstanten!$H$8)&lt;0,0,((SQRT($G51)-[5]Konstanten!$G$8)/[5]Konstanten!$H$8)),0)</f>
        <v>0</v>
      </c>
      <c r="K51" s="12">
        <f>SUM(H51:J51)</f>
        <v>0</v>
      </c>
    </row>
    <row r="52" spans="1:11" ht="15.75" x14ac:dyDescent="0.25">
      <c r="A52" s="5"/>
      <c r="B52" s="5"/>
      <c r="C52" s="5"/>
      <c r="D52" s="36">
        <v>2008</v>
      </c>
      <c r="E52" s="8"/>
      <c r="F52" s="8"/>
      <c r="G52" s="9"/>
      <c r="H52" s="5"/>
      <c r="I52" s="5"/>
      <c r="J52" s="5"/>
      <c r="K52" s="5"/>
    </row>
    <row r="53" spans="1:11" ht="47.25" x14ac:dyDescent="0.25">
      <c r="A53" s="5" t="s">
        <v>13</v>
      </c>
      <c r="B53" s="5" t="s">
        <v>14</v>
      </c>
      <c r="C53" s="5" t="s">
        <v>15</v>
      </c>
      <c r="D53" s="5" t="s">
        <v>16</v>
      </c>
      <c r="E53" s="13" t="s">
        <v>17</v>
      </c>
      <c r="F53" s="14" t="s">
        <v>18</v>
      </c>
      <c r="G53" s="15" t="s">
        <v>19</v>
      </c>
      <c r="H53" s="16" t="s">
        <v>20</v>
      </c>
      <c r="I53" s="17" t="s">
        <v>21</v>
      </c>
      <c r="J53" s="17" t="s">
        <v>22</v>
      </c>
      <c r="K53" s="18" t="s">
        <v>23</v>
      </c>
    </row>
    <row r="54" spans="1:11" ht="15.75" x14ac:dyDescent="0.25">
      <c r="A54" s="19" t="s">
        <v>24</v>
      </c>
      <c r="B54" s="20" t="s">
        <v>145</v>
      </c>
      <c r="C54" s="20" t="s">
        <v>143</v>
      </c>
      <c r="D54" s="20" t="s">
        <v>147</v>
      </c>
      <c r="E54" s="21">
        <v>8.3000000000000007</v>
      </c>
      <c r="F54" s="21">
        <v>3.66</v>
      </c>
      <c r="G54" s="22">
        <v>23</v>
      </c>
      <c r="H54" s="23">
        <f>ROUND(IF(OR((((50/($E54+0.24))-[4]Konstanten!$G$5)/[4]Konstanten!$H$5)&lt;0,$E54=""),0,(((50/($E54+0.24))-[4]Konstanten!$G$5)/[4]Konstanten!$H$5)),0)</f>
        <v>334</v>
      </c>
      <c r="I54" s="23">
        <f>ROUND(IF(((SQRT($F54)-[4]Konstanten!$G$6)/[4]Konstanten!$H$6)&lt;0,0,((SQRT($F54)-[4]Konstanten!$G$6)/[4]Konstanten!$H$6)),0)</f>
        <v>394</v>
      </c>
      <c r="J54" s="23">
        <f>ROUND(IF(((SQRT($G54)-[4]Konstanten!$G$8)/[4]Konstanten!$H$8)&lt;0,0,((SQRT($G54)-[4]Konstanten!$G$8)/[4]Konstanten!$H$8)),0)</f>
        <v>317</v>
      </c>
      <c r="K54" s="24">
        <f t="shared" ref="K54:K62" si="3">SUM(H54:J54)</f>
        <v>1045</v>
      </c>
    </row>
    <row r="55" spans="1:11" ht="15.75" x14ac:dyDescent="0.25">
      <c r="A55" s="19" t="s">
        <v>25</v>
      </c>
      <c r="B55" s="25" t="s">
        <v>146</v>
      </c>
      <c r="C55" s="20" t="s">
        <v>144</v>
      </c>
      <c r="D55" s="20" t="s">
        <v>147</v>
      </c>
      <c r="E55" s="21">
        <v>8.6</v>
      </c>
      <c r="F55" s="21">
        <v>3.64</v>
      </c>
      <c r="G55" s="22">
        <v>22.5</v>
      </c>
      <c r="H55" s="23">
        <f>ROUND(IF(OR((((50/($E55+0.24))-[4]Konstanten!$G$5)/[4]Konstanten!$H$5)&lt;0,$E55=""),0,(((50/($E55+0.24))-[4]Konstanten!$G$5)/[4]Konstanten!$H$5)),0)</f>
        <v>304</v>
      </c>
      <c r="I55" s="23">
        <f>ROUND(IF(((SQRT($F55)-[4]Konstanten!$G$6)/[4]Konstanten!$H$6)&lt;0,0,((SQRT($F55)-[4]Konstanten!$G$6)/[4]Konstanten!$H$6)),0)</f>
        <v>392</v>
      </c>
      <c r="J55" s="23">
        <f>ROUND(IF(((SQRT($G55)-[4]Konstanten!$G$8)/[4]Konstanten!$H$8)&lt;0,0,((SQRT($G55)-[4]Konstanten!$G$8)/[4]Konstanten!$H$8)),0)</f>
        <v>311</v>
      </c>
      <c r="K55" s="24">
        <f t="shared" si="3"/>
        <v>1007</v>
      </c>
    </row>
    <row r="56" spans="1:11" ht="15.75" x14ac:dyDescent="0.25">
      <c r="A56" s="19" t="s">
        <v>124</v>
      </c>
      <c r="B56" s="25" t="s">
        <v>256</v>
      </c>
      <c r="C56" s="20" t="s">
        <v>257</v>
      </c>
      <c r="D56" s="20" t="s">
        <v>70</v>
      </c>
      <c r="E56" s="21">
        <v>8.6999999999999993</v>
      </c>
      <c r="F56" s="21">
        <v>3.2</v>
      </c>
      <c r="G56" s="22">
        <v>17</v>
      </c>
      <c r="H56" s="23">
        <f>ROUND(IF(OR((((50/($E56+0.24))-[4]Konstanten!$G$5)/[4]Konstanten!$H$5)&lt;0,$E56=""),0,(((50/($E56+0.24))-[4]Konstanten!$G$5)/[4]Konstanten!$H$5)),0)</f>
        <v>295</v>
      </c>
      <c r="I56" s="23">
        <f>ROUND(IF(((SQRT($F56)-[4]Konstanten!$G$6)/[4]Konstanten!$H$6)&lt;0,0,((SQRT($F56)-[4]Konstanten!$G$6)/[4]Konstanten!$H$6)),0)</f>
        <v>334</v>
      </c>
      <c r="J56" s="23">
        <f>ROUND(IF(((SQRT($G56)-[4]Konstanten!$G$8)/[4]Konstanten!$H$8)&lt;0,0,((SQRT($G56)-[4]Konstanten!$G$8)/[4]Konstanten!$H$8)),0)</f>
        <v>240</v>
      </c>
      <c r="K56" s="24">
        <f t="shared" si="3"/>
        <v>869</v>
      </c>
    </row>
    <row r="57" spans="1:11" ht="15.75" x14ac:dyDescent="0.25">
      <c r="A57" s="19" t="s">
        <v>125</v>
      </c>
      <c r="B57" s="25" t="s">
        <v>83</v>
      </c>
      <c r="C57" s="20" t="s">
        <v>141</v>
      </c>
      <c r="D57" s="20" t="s">
        <v>142</v>
      </c>
      <c r="E57" s="21">
        <v>9.1</v>
      </c>
      <c r="F57" s="21">
        <v>3.21</v>
      </c>
      <c r="G57" s="22">
        <v>14.5</v>
      </c>
      <c r="H57" s="23">
        <f>ROUND(IF(OR((((50/($E57+0.24))-[4]Konstanten!$G$5)/[4]Konstanten!$H$5)&lt;0,$E57=""),0,(((50/($E57+0.24))-[4]Konstanten!$G$5)/[4]Konstanten!$H$5)),0)</f>
        <v>258</v>
      </c>
      <c r="I57" s="23">
        <f>ROUND(IF(((SQRT($F57)-[4]Konstanten!$G$6)/[4]Konstanten!$H$6)&lt;0,0,((SQRT($F57)-[4]Konstanten!$G$6)/[4]Konstanten!$H$6)),0)</f>
        <v>336</v>
      </c>
      <c r="J57" s="23">
        <f>ROUND(IF(((SQRT($G57)-[4]Konstanten!$G$8)/[4]Konstanten!$H$8)&lt;0,0,((SQRT($G57)-[4]Konstanten!$G$8)/[4]Konstanten!$H$8)),0)</f>
        <v>204</v>
      </c>
      <c r="K57" s="24">
        <f t="shared" si="3"/>
        <v>798</v>
      </c>
    </row>
    <row r="58" spans="1:11" ht="15.75" x14ac:dyDescent="0.25">
      <c r="A58" s="19" t="s">
        <v>128</v>
      </c>
      <c r="B58" s="25" t="s">
        <v>252</v>
      </c>
      <c r="C58" s="20" t="s">
        <v>253</v>
      </c>
      <c r="D58" s="20" t="s">
        <v>70</v>
      </c>
      <c r="E58" s="21">
        <v>8.8000000000000007</v>
      </c>
      <c r="F58" s="21">
        <v>3.05</v>
      </c>
      <c r="G58" s="22">
        <v>11</v>
      </c>
      <c r="H58" s="23">
        <f>ROUND(IF(OR((((50/($E58+0.24))-[4]Konstanten!$G$5)/[4]Konstanten!$H$5)&lt;0,$E58=""),0,(((50/($E58+0.24))-[4]Konstanten!$G$5)/[4]Konstanten!$H$5)),0)</f>
        <v>285</v>
      </c>
      <c r="I58" s="23">
        <f>ROUND(IF(((SQRT($F58)-[4]Konstanten!$G$6)/[4]Konstanten!$H$6)&lt;0,0,((SQRT($F58)-[4]Konstanten!$G$6)/[4]Konstanten!$H$6)),0)</f>
        <v>314</v>
      </c>
      <c r="J58" s="23">
        <f>ROUND(IF(((SQRT($G58)-[4]Konstanten!$G$8)/[4]Konstanten!$H$8)&lt;0,0,((SQRT($G58)-[4]Konstanten!$G$8)/[4]Konstanten!$H$8)),0)</f>
        <v>148</v>
      </c>
      <c r="K58" s="24">
        <f t="shared" si="3"/>
        <v>747</v>
      </c>
    </row>
    <row r="59" spans="1:11" ht="15.75" x14ac:dyDescent="0.25">
      <c r="A59" s="19" t="s">
        <v>129</v>
      </c>
      <c r="B59" s="25" t="s">
        <v>254</v>
      </c>
      <c r="C59" s="20" t="s">
        <v>204</v>
      </c>
      <c r="D59" s="20" t="s">
        <v>70</v>
      </c>
      <c r="E59" s="21">
        <v>9.0500000000000007</v>
      </c>
      <c r="F59" s="21">
        <v>2.9</v>
      </c>
      <c r="G59" s="22">
        <v>13</v>
      </c>
      <c r="H59" s="23">
        <f>ROUND(IF(OR((((50/($E59+0.24))-[4]Konstanten!$G$5)/[4]Konstanten!$H$5)&lt;0,$E59=""),0,(((50/($E59+0.24))-[4]Konstanten!$G$5)/[4]Konstanten!$H$5)),0)</f>
        <v>263</v>
      </c>
      <c r="I59" s="23">
        <f>ROUND(IF(((SQRT($F59)-[4]Konstanten!$G$6)/[4]Konstanten!$H$6)&lt;0,0,((SQRT($F59)-[4]Konstanten!$G$6)/[4]Konstanten!$H$6)),0)</f>
        <v>293</v>
      </c>
      <c r="J59" s="23">
        <f>ROUND(IF(((SQRT($G59)-[4]Konstanten!$G$8)/[4]Konstanten!$H$8)&lt;0,0,((SQRT($G59)-[4]Konstanten!$G$8)/[4]Konstanten!$H$8)),0)</f>
        <v>181</v>
      </c>
      <c r="K59" s="24">
        <f t="shared" si="3"/>
        <v>737</v>
      </c>
    </row>
    <row r="60" spans="1:11" ht="15.75" x14ac:dyDescent="0.25">
      <c r="A60" s="19" t="s">
        <v>130</v>
      </c>
      <c r="B60" s="20" t="s">
        <v>251</v>
      </c>
      <c r="C60" s="20" t="s">
        <v>250</v>
      </c>
      <c r="D60" s="20" t="s">
        <v>70</v>
      </c>
      <c r="E60" s="21">
        <v>10.3</v>
      </c>
      <c r="F60" s="21">
        <v>2.6</v>
      </c>
      <c r="G60" s="22">
        <v>20</v>
      </c>
      <c r="H60" s="23">
        <f>ROUND(IF(OR((((50/($E60+0.24))-[4]Konstanten!$G$5)/[4]Konstanten!$H$5)&lt;0,$E60=""),0,(((50/($E60+0.24))-[4]Konstanten!$G$5)/[4]Konstanten!$H$5)),0)</f>
        <v>166</v>
      </c>
      <c r="I60" s="23">
        <f>ROUND(IF(((SQRT($F60)-[4]Konstanten!$G$6)/[4]Konstanten!$H$6)&lt;0,0,((SQRT($F60)-[4]Konstanten!$G$6)/[4]Konstanten!$H$6)),0)</f>
        <v>249</v>
      </c>
      <c r="J60" s="23">
        <f>ROUND(IF(((SQRT($G60)-[4]Konstanten!$G$8)/[4]Konstanten!$H$8)&lt;0,0,((SQRT($G60)-[4]Konstanten!$G$8)/[4]Konstanten!$H$8)),0)</f>
        <v>280</v>
      </c>
      <c r="K60" s="24">
        <f t="shared" si="3"/>
        <v>695</v>
      </c>
    </row>
    <row r="61" spans="1:11" ht="15.75" x14ac:dyDescent="0.25">
      <c r="A61" s="19" t="s">
        <v>131</v>
      </c>
      <c r="B61" s="20" t="s">
        <v>255</v>
      </c>
      <c r="C61" s="20" t="s">
        <v>79</v>
      </c>
      <c r="D61" s="20" t="s">
        <v>70</v>
      </c>
      <c r="E61" s="21">
        <v>9.5</v>
      </c>
      <c r="F61" s="21">
        <v>2.95</v>
      </c>
      <c r="G61" s="22">
        <v>12</v>
      </c>
      <c r="H61" s="23">
        <f>ROUND(IF(OR((((50/($E61+0.24))-[4]Konstanten!$G$5)/[4]Konstanten!$H$5)&lt;0,$E61=""),0,(((50/($E61+0.24))-[4]Konstanten!$G$5)/[4]Konstanten!$H$5)),0)</f>
        <v>225</v>
      </c>
      <c r="I61" s="23">
        <f>ROUND(IF(((SQRT($F61)-[4]Konstanten!$G$6)/[4]Konstanten!$H$6)&lt;0,0,((SQRT($F61)-[4]Konstanten!$G$6)/[4]Konstanten!$H$6)),0)</f>
        <v>300</v>
      </c>
      <c r="J61" s="23">
        <f>ROUND(IF(((SQRT($G61)-[4]Konstanten!$G$8)/[4]Konstanten!$H$8)&lt;0,0,((SQRT($G61)-[4]Konstanten!$G$8)/[4]Konstanten!$H$8)),0)</f>
        <v>165</v>
      </c>
      <c r="K61" s="24">
        <f t="shared" si="3"/>
        <v>690</v>
      </c>
    </row>
    <row r="62" spans="1:11" ht="15.75" x14ac:dyDescent="0.25">
      <c r="A62" s="19" t="s">
        <v>132</v>
      </c>
      <c r="B62" s="38" t="s">
        <v>189</v>
      </c>
      <c r="C62" s="37" t="s">
        <v>123</v>
      </c>
      <c r="D62" s="37" t="s">
        <v>205</v>
      </c>
      <c r="E62" s="21">
        <v>10.3</v>
      </c>
      <c r="F62" s="21">
        <v>2.68</v>
      </c>
      <c r="G62" s="22">
        <v>11</v>
      </c>
      <c r="H62" s="23">
        <f>ROUND(IF(OR((((50/($E62+0.24))-[4]Konstanten!$G$5)/[4]Konstanten!$H$5)&lt;0,$E62=""),0,(((50/($E62+0.24))-[4]Konstanten!$G$5)/[4]Konstanten!$H$5)),0)</f>
        <v>166</v>
      </c>
      <c r="I62" s="23">
        <f>ROUND(IF(((SQRT($F62)-[4]Konstanten!$G$6)/[4]Konstanten!$H$6)&lt;0,0,((SQRT($F62)-[4]Konstanten!$G$6)/[4]Konstanten!$H$6)),0)</f>
        <v>261</v>
      </c>
      <c r="J62" s="23">
        <f>ROUND(IF(((SQRT($G62)-[4]Konstanten!$G$8)/[4]Konstanten!$H$8)&lt;0,0,((SQRT($G62)-[4]Konstanten!$G$8)/[4]Konstanten!$H$8)),0)</f>
        <v>148</v>
      </c>
      <c r="K62" s="24">
        <f t="shared" si="3"/>
        <v>575</v>
      </c>
    </row>
    <row r="63" spans="1:11" ht="15.75" x14ac:dyDescent="0.25">
      <c r="A63" s="19"/>
      <c r="B63" s="25"/>
      <c r="C63" s="20"/>
      <c r="D63" s="20"/>
      <c r="E63" s="21"/>
      <c r="F63" s="21"/>
      <c r="G63" s="22"/>
      <c r="H63" s="23"/>
      <c r="I63" s="23"/>
      <c r="J63" s="23"/>
      <c r="K63" s="24"/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8" x14ac:dyDescent="0.25">
      <c r="A65" s="5"/>
      <c r="B65" s="6" t="s">
        <v>11</v>
      </c>
      <c r="C65" s="7"/>
      <c r="D65" s="5"/>
      <c r="E65" s="8"/>
      <c r="F65" s="8"/>
      <c r="G65" s="9"/>
      <c r="H65" s="5"/>
      <c r="I65" s="5"/>
      <c r="J65" s="5"/>
      <c r="K65" s="5"/>
    </row>
    <row r="66" spans="1:11" ht="18" x14ac:dyDescent="0.25">
      <c r="A66" s="5"/>
      <c r="B66" s="6" t="s">
        <v>12</v>
      </c>
      <c r="C66" s="6" t="s">
        <v>34</v>
      </c>
      <c r="D66" s="10" t="s">
        <v>35</v>
      </c>
      <c r="E66" s="8"/>
      <c r="F66" s="8"/>
      <c r="G66" s="9"/>
      <c r="H66" s="11">
        <f>ROUND(IF(OR((((50/($E66+0.24))-[6]Konstanten!$G$5)/[6]Konstanten!$H$5)&lt;0,$E66=""),0,(((50/($E66+0.24))-[6]Konstanten!$G$5)/[6]Konstanten!$H$5)),0)</f>
        <v>0</v>
      </c>
      <c r="I66" s="11">
        <f>ROUND(IF(((SQRT($F66)-[6]Konstanten!$G$6)/[6]Konstanten!$H$6)&lt;0,0,((SQRT($F66)-[6]Konstanten!$G$6)/[6]Konstanten!$H$6)),0)</f>
        <v>0</v>
      </c>
      <c r="J66" s="11">
        <f>ROUND(IF(((SQRT($G66)-[6]Konstanten!$G$8)/[6]Konstanten!$H$8)&lt;0,0,((SQRT($G66)-[6]Konstanten!$G$8)/[6]Konstanten!$H$8)),0)</f>
        <v>0</v>
      </c>
      <c r="K66" s="12">
        <f>SUM(H66:J66)</f>
        <v>0</v>
      </c>
    </row>
    <row r="67" spans="1:11" ht="15.75" x14ac:dyDescent="0.25">
      <c r="A67" s="5"/>
      <c r="B67" s="5"/>
      <c r="C67" s="5"/>
      <c r="D67" s="36">
        <v>2007</v>
      </c>
      <c r="E67" s="8"/>
      <c r="F67" s="8"/>
      <c r="G67" s="9"/>
      <c r="H67" s="5"/>
      <c r="I67" s="5"/>
      <c r="J67" s="5"/>
      <c r="K67" s="5"/>
    </row>
    <row r="68" spans="1:11" ht="47.25" x14ac:dyDescent="0.25">
      <c r="A68" s="5" t="s">
        <v>13</v>
      </c>
      <c r="B68" s="5" t="s">
        <v>14</v>
      </c>
      <c r="C68" s="5" t="s">
        <v>15</v>
      </c>
      <c r="D68" s="5" t="s">
        <v>16</v>
      </c>
      <c r="E68" s="13" t="s">
        <v>17</v>
      </c>
      <c r="F68" s="14" t="s">
        <v>18</v>
      </c>
      <c r="G68" s="15" t="s">
        <v>19</v>
      </c>
      <c r="H68" s="16" t="s">
        <v>20</v>
      </c>
      <c r="I68" s="17" t="s">
        <v>21</v>
      </c>
      <c r="J68" s="17" t="s">
        <v>22</v>
      </c>
      <c r="K68" s="18" t="s">
        <v>23</v>
      </c>
    </row>
    <row r="69" spans="1:11" ht="15.75" x14ac:dyDescent="0.25">
      <c r="A69" s="19" t="s">
        <v>24</v>
      </c>
      <c r="B69" s="37" t="s">
        <v>72</v>
      </c>
      <c r="C69" s="37" t="s">
        <v>73</v>
      </c>
      <c r="D69" s="37" t="s">
        <v>69</v>
      </c>
      <c r="E69" s="21">
        <v>7.7</v>
      </c>
      <c r="F69" s="21">
        <v>4.6100000000000003</v>
      </c>
      <c r="G69" s="22">
        <v>36</v>
      </c>
      <c r="H69" s="23">
        <f>ROUND(IF(OR((((50/($E69+0.24))-[4]Konstanten!$G$5)/[4]Konstanten!$H$5)&lt;0,$E69=""),0,(((50/($E69+0.24))-[4]Konstanten!$G$5)/[4]Konstanten!$H$5)),0)</f>
        <v>401</v>
      </c>
      <c r="I69" s="23">
        <f>ROUND(IF(((SQRT($F69)-[4]Konstanten!$G$6)/[4]Konstanten!$H$6)&lt;0,0,((SQRT($F69)-[4]Konstanten!$G$6)/[4]Konstanten!$H$6)),0)</f>
        <v>507</v>
      </c>
      <c r="J69" s="23">
        <f>ROUND(IF(((SQRT($G69)-[4]Konstanten!$G$8)/[4]Konstanten!$H$8)&lt;0,0,((SQRT($G69)-[4]Konstanten!$G$8)/[4]Konstanten!$H$8)),0)</f>
        <v>455</v>
      </c>
      <c r="K69" s="24">
        <f>SUM(H69:J69)</f>
        <v>1363</v>
      </c>
    </row>
    <row r="70" spans="1:11" ht="15.75" x14ac:dyDescent="0.25">
      <c r="A70" s="19" t="s">
        <v>25</v>
      </c>
      <c r="B70" s="25" t="s">
        <v>258</v>
      </c>
      <c r="C70" s="20" t="s">
        <v>190</v>
      </c>
      <c r="D70" s="20" t="s">
        <v>259</v>
      </c>
      <c r="E70" s="21">
        <v>8.5</v>
      </c>
      <c r="F70" s="21">
        <v>3.42</v>
      </c>
      <c r="G70" s="22">
        <v>21</v>
      </c>
      <c r="H70" s="23">
        <f>ROUND(IF(OR((((50/($E70+0.24))-[4]Konstanten!$G$5)/[4]Konstanten!$H$5)&lt;0,$E70=""),0,(((50/($E70+0.24))-[4]Konstanten!$G$5)/[4]Konstanten!$H$5)),0)</f>
        <v>314</v>
      </c>
      <c r="I70" s="23">
        <f>ROUND(IF(((SQRT($F70)-[4]Konstanten!$G$6)/[4]Konstanten!$H$6)&lt;0,0,((SQRT($F70)-[4]Konstanten!$G$6)/[4]Konstanten!$H$6)),0)</f>
        <v>363</v>
      </c>
      <c r="J70" s="23">
        <f>ROUND(IF(((SQRT($G70)-[4]Konstanten!$G$8)/[4]Konstanten!$H$8)&lt;0,0,((SQRT($G70)-[4]Konstanten!$G$8)/[4]Konstanten!$H$8)),0)</f>
        <v>293</v>
      </c>
      <c r="K70" s="24">
        <f>SUM(H70:J70)</f>
        <v>970</v>
      </c>
    </row>
    <row r="71" spans="1:11" ht="15.75" x14ac:dyDescent="0.25">
      <c r="A71" s="19" t="s">
        <v>124</v>
      </c>
      <c r="B71" s="25" t="s">
        <v>260</v>
      </c>
      <c r="C71" s="20" t="s">
        <v>261</v>
      </c>
      <c r="D71" s="20" t="s">
        <v>259</v>
      </c>
      <c r="E71" s="21">
        <v>8.1999999999999993</v>
      </c>
      <c r="F71" s="21">
        <v>3.52</v>
      </c>
      <c r="G71" s="22">
        <v>15</v>
      </c>
      <c r="H71" s="23">
        <f>ROUND(IF(OR((((50/($E71+0.24))-[4]Konstanten!$G$5)/[4]Konstanten!$H$5)&lt;0,$E71=""),0,(((50/($E71+0.24))-[4]Konstanten!$G$5)/[4]Konstanten!$H$5)),0)</f>
        <v>345</v>
      </c>
      <c r="I71" s="23">
        <f>ROUND(IF(((SQRT($F71)-[4]Konstanten!$G$6)/[4]Konstanten!$H$6)&lt;0,0,((SQRT($F71)-[4]Konstanten!$G$6)/[4]Konstanten!$H$6)),0)</f>
        <v>376</v>
      </c>
      <c r="J71" s="23">
        <f>ROUND(IF(((SQRT($G71)-[4]Konstanten!$G$8)/[4]Konstanten!$H$8)&lt;0,0,((SQRT($G71)-[4]Konstanten!$G$8)/[4]Konstanten!$H$8)),0)</f>
        <v>212</v>
      </c>
      <c r="K71" s="24">
        <f>SUM(H71:J71)</f>
        <v>933</v>
      </c>
    </row>
    <row r="72" spans="1:11" ht="15.75" x14ac:dyDescent="0.25">
      <c r="A72" s="19" t="s">
        <v>125</v>
      </c>
      <c r="B72" s="38" t="s">
        <v>203</v>
      </c>
      <c r="C72" s="37" t="s">
        <v>204</v>
      </c>
      <c r="D72" s="37" t="s">
        <v>191</v>
      </c>
      <c r="E72" s="21">
        <v>9.4</v>
      </c>
      <c r="F72" s="21">
        <v>2.3199999999999998</v>
      </c>
      <c r="G72" s="22">
        <v>19</v>
      </c>
      <c r="H72" s="23">
        <f>ROUND(IF(OR((((50/($E72+0.24))-[4]Konstanten!$G$5)/[4]Konstanten!$H$5)&lt;0,$E72=""),0,(((50/($E72+0.24))-[4]Konstanten!$G$5)/[4]Konstanten!$H$5)),0)</f>
        <v>233</v>
      </c>
      <c r="I72" s="23">
        <f>ROUND(IF(((SQRT($F72)-[4]Konstanten!$G$6)/[4]Konstanten!$H$6)&lt;0,0,((SQRT($F72)-[4]Konstanten!$G$6)/[4]Konstanten!$H$6)),0)</f>
        <v>207</v>
      </c>
      <c r="J72" s="23">
        <f>ROUND(IF(((SQRT($G72)-[4]Konstanten!$G$8)/[4]Konstanten!$H$8)&lt;0,0,((SQRT($G72)-[4]Konstanten!$G$8)/[4]Konstanten!$H$8)),0)</f>
        <v>267</v>
      </c>
      <c r="K72" s="24">
        <f>SUM(H72:J72)</f>
        <v>707</v>
      </c>
    </row>
    <row r="73" spans="1:11" ht="15.75" x14ac:dyDescent="0.25">
      <c r="A73" s="19"/>
      <c r="B73" s="25"/>
      <c r="C73" s="20"/>
      <c r="D73" s="20"/>
      <c r="E73" s="21"/>
      <c r="F73" s="21"/>
      <c r="G73" s="22"/>
      <c r="H73" s="23"/>
      <c r="I73" s="23"/>
      <c r="J73" s="23"/>
      <c r="K73" s="24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8" x14ac:dyDescent="0.25">
      <c r="A75" s="5"/>
      <c r="B75" s="6" t="s">
        <v>11</v>
      </c>
      <c r="C75" s="7"/>
      <c r="D75" s="5"/>
      <c r="E75" s="8"/>
      <c r="F75" s="8"/>
      <c r="G75" s="9"/>
      <c r="H75" s="5"/>
      <c r="I75" s="5"/>
      <c r="J75" s="5"/>
      <c r="K75" s="5"/>
    </row>
    <row r="76" spans="1:11" ht="18" x14ac:dyDescent="0.25">
      <c r="A76" s="5"/>
      <c r="B76" s="6" t="s">
        <v>12</v>
      </c>
      <c r="C76" s="6" t="s">
        <v>36</v>
      </c>
      <c r="D76" s="10" t="s">
        <v>37</v>
      </c>
      <c r="E76" s="8"/>
      <c r="F76" s="8"/>
      <c r="G76" s="9"/>
      <c r="H76" s="11">
        <f>ROUND(IF(OR((((50/($E76+0.24))-[7]Konstanten!$G$5)/[7]Konstanten!$H$5)&lt;0,$E76=""),0,(((50/($E76+0.24))-[7]Konstanten!$G$5)/[7]Konstanten!$H$5)),0)</f>
        <v>0</v>
      </c>
      <c r="I76" s="11">
        <f>ROUND(IF(((SQRT($F76)-[7]Konstanten!$G$6)/[7]Konstanten!$H$6)&lt;0,0,((SQRT($F76)-[7]Konstanten!$G$6)/[7]Konstanten!$H$6)),0)</f>
        <v>0</v>
      </c>
      <c r="J76" s="11">
        <f>ROUND(IF(((SQRT($G76)-[7]Konstanten!$G$8)/[7]Konstanten!$H$8)&lt;0,0,((SQRT($G76)-[7]Konstanten!$G$8)/[7]Konstanten!$H$8)),0)</f>
        <v>0</v>
      </c>
      <c r="K76" s="12">
        <f>SUM(H76:J76)</f>
        <v>0</v>
      </c>
    </row>
    <row r="77" spans="1:11" ht="15.75" x14ac:dyDescent="0.25">
      <c r="A77" s="5"/>
      <c r="B77" s="5"/>
      <c r="C77" s="5"/>
      <c r="D77" s="36">
        <v>2006</v>
      </c>
      <c r="E77" s="8"/>
      <c r="F77" s="8"/>
      <c r="G77" s="9"/>
      <c r="H77" s="5"/>
      <c r="I77" s="5"/>
      <c r="J77" s="5"/>
      <c r="K77" s="5"/>
    </row>
    <row r="78" spans="1:11" ht="47.25" x14ac:dyDescent="0.25">
      <c r="A78" s="5" t="s">
        <v>13</v>
      </c>
      <c r="B78" s="5" t="s">
        <v>14</v>
      </c>
      <c r="C78" s="5" t="s">
        <v>15</v>
      </c>
      <c r="D78" s="5" t="s">
        <v>16</v>
      </c>
      <c r="E78" s="13" t="s">
        <v>58</v>
      </c>
      <c r="F78" s="14" t="s">
        <v>18</v>
      </c>
      <c r="G78" s="15" t="s">
        <v>19</v>
      </c>
      <c r="H78" s="16" t="s">
        <v>20</v>
      </c>
      <c r="I78" s="17" t="s">
        <v>21</v>
      </c>
      <c r="J78" s="17" t="s">
        <v>22</v>
      </c>
      <c r="K78" s="18" t="s">
        <v>23</v>
      </c>
    </row>
    <row r="79" spans="1:11" ht="15.75" x14ac:dyDescent="0.25">
      <c r="A79" s="19" t="s">
        <v>24</v>
      </c>
      <c r="B79" s="20" t="s">
        <v>263</v>
      </c>
      <c r="C79" s="20" t="s">
        <v>264</v>
      </c>
      <c r="D79" s="20" t="s">
        <v>70</v>
      </c>
      <c r="E79" s="21">
        <v>11.1</v>
      </c>
      <c r="F79" s="21">
        <v>3.94</v>
      </c>
      <c r="G79" s="22">
        <v>21.5</v>
      </c>
      <c r="H79" s="23">
        <v>396</v>
      </c>
      <c r="I79" s="23">
        <f>ROUND(IF(((SQRT($F79)-[4]Konstanten!$G$6)/[4]Konstanten!$H$6)&lt;0,0,((SQRT($F79)-[4]Konstanten!$G$6)/[4]Konstanten!$H$6)),0)</f>
        <v>429</v>
      </c>
      <c r="J79" s="23">
        <f>ROUND(IF(((SQRT($G79)-[4]Konstanten!$G$8)/[4]Konstanten!$H$8)&lt;0,0,((SQRT($G79)-[4]Konstanten!$G$8)/[4]Konstanten!$H$8)),0)</f>
        <v>299</v>
      </c>
      <c r="K79" s="24">
        <f>SUM(H79:J79)</f>
        <v>1124</v>
      </c>
    </row>
    <row r="80" spans="1:11" ht="15.75" x14ac:dyDescent="0.25">
      <c r="A80" s="19" t="s">
        <v>25</v>
      </c>
      <c r="B80" s="38" t="s">
        <v>120</v>
      </c>
      <c r="C80" s="37" t="s">
        <v>121</v>
      </c>
      <c r="D80" s="37" t="s">
        <v>119</v>
      </c>
      <c r="E80" s="21">
        <v>12.4</v>
      </c>
      <c r="F80" s="21">
        <v>3.43</v>
      </c>
      <c r="G80" s="21">
        <v>22</v>
      </c>
      <c r="H80" s="23">
        <v>293</v>
      </c>
      <c r="I80" s="23">
        <f>ROUND(IF(((SQRT($F80)-[4]Konstanten!$G$6)/[4]Konstanten!$H$6)&lt;0,0,((SQRT($F80)-[4]Konstanten!$G$6)/[4]Konstanten!$H$6)),0)</f>
        <v>365</v>
      </c>
      <c r="J80" s="23">
        <f>ROUND(IF(((SQRT($G80)-[4]Konstanten!$G$8)/[4]Konstanten!$H$8)&lt;0,0,((SQRT($G80)-[4]Konstanten!$G$8)/[4]Konstanten!$H$8)),0)</f>
        <v>305</v>
      </c>
      <c r="K80" s="24">
        <f>SUM(H80:J80)</f>
        <v>963</v>
      </c>
    </row>
    <row r="81" spans="1:11" ht="15.75" x14ac:dyDescent="0.25">
      <c r="A81" s="19" t="s">
        <v>124</v>
      </c>
      <c r="B81" s="20" t="s">
        <v>244</v>
      </c>
      <c r="C81" s="20" t="s">
        <v>262</v>
      </c>
      <c r="D81" s="20" t="s">
        <v>70</v>
      </c>
      <c r="E81" s="21">
        <v>12.8</v>
      </c>
      <c r="F81" s="21">
        <v>3.14</v>
      </c>
      <c r="G81" s="22">
        <v>22</v>
      </c>
      <c r="H81" s="23">
        <v>265</v>
      </c>
      <c r="I81" s="23">
        <f>ROUND(IF(((SQRT($F81)-[4]Konstanten!$G$6)/[4]Konstanten!$H$6)&lt;0,0,((SQRT($F81)-[4]Konstanten!$G$6)/[4]Konstanten!$H$6)),0)</f>
        <v>326</v>
      </c>
      <c r="J81" s="23">
        <f>ROUND(IF(((SQRT($G81)-[4]Konstanten!$G$8)/[4]Konstanten!$H$8)&lt;0,0,((SQRT($G81)-[4]Konstanten!$G$8)/[4]Konstanten!$H$8)),0)</f>
        <v>305</v>
      </c>
      <c r="K81" s="24">
        <f>SUM(H81:J81)</f>
        <v>896</v>
      </c>
    </row>
    <row r="82" spans="1:11" ht="15.75" x14ac:dyDescent="0.25">
      <c r="A82" s="19"/>
      <c r="B82" s="25"/>
      <c r="C82" s="20"/>
      <c r="D82" s="20"/>
      <c r="E82" s="21"/>
      <c r="F82" s="21"/>
      <c r="G82" s="22"/>
      <c r="H82" s="23"/>
      <c r="I82" s="23"/>
      <c r="J82" s="23"/>
      <c r="K82" s="24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8" x14ac:dyDescent="0.25">
      <c r="A84" s="5"/>
      <c r="B84" s="6" t="s">
        <v>11</v>
      </c>
      <c r="C84" s="7"/>
      <c r="D84" s="5"/>
      <c r="E84" s="8"/>
      <c r="F84" s="8"/>
      <c r="G84" s="9"/>
      <c r="H84" s="5"/>
      <c r="I84" s="5"/>
      <c r="J84" s="5"/>
      <c r="K84" s="5"/>
    </row>
    <row r="85" spans="1:11" ht="18" x14ac:dyDescent="0.25">
      <c r="A85" s="5"/>
      <c r="B85" s="6" t="s">
        <v>12</v>
      </c>
      <c r="C85" s="6" t="s">
        <v>38</v>
      </c>
      <c r="D85" s="10" t="s">
        <v>39</v>
      </c>
      <c r="E85" s="8"/>
      <c r="F85" s="8"/>
      <c r="G85" s="9"/>
      <c r="H85" s="11">
        <f>ROUND(IF(OR((((50/($E85+0.24))-[8]Konstanten!$G$5)/[8]Konstanten!$H$5)&lt;0,$E85=""),0,(((50/($E85+0.24))-[8]Konstanten!$G$5)/[8]Konstanten!$H$5)),0)</f>
        <v>0</v>
      </c>
      <c r="I85" s="11">
        <f>ROUND(IF(((SQRT($F85)-[8]Konstanten!$G$6)/[8]Konstanten!$H$6)&lt;0,0,((SQRT($F85)-[8]Konstanten!$G$6)/[8]Konstanten!$H$6)),0)</f>
        <v>0</v>
      </c>
      <c r="J85" s="11">
        <f>ROUND(IF(((SQRT($G85)-[8]Konstanten!$G$8)/[8]Konstanten!$H$8)&lt;0,0,((SQRT($G85)-[8]Konstanten!$G$8)/[8]Konstanten!$H$8)),0)</f>
        <v>0</v>
      </c>
      <c r="K85" s="12">
        <f>SUM(H85:J85)</f>
        <v>0</v>
      </c>
    </row>
    <row r="86" spans="1:11" ht="15.75" x14ac:dyDescent="0.25">
      <c r="A86" s="5"/>
      <c r="B86" s="5"/>
      <c r="C86" s="5"/>
      <c r="D86" s="36">
        <v>2005</v>
      </c>
      <c r="E86" s="8"/>
      <c r="F86" s="8"/>
      <c r="G86" s="9"/>
      <c r="H86" s="5"/>
      <c r="I86" s="5"/>
      <c r="J86" s="5"/>
      <c r="K86" s="5"/>
    </row>
    <row r="87" spans="1:11" ht="47.25" x14ac:dyDescent="0.25">
      <c r="A87" s="5" t="s">
        <v>13</v>
      </c>
      <c r="B87" s="5" t="s">
        <v>14</v>
      </c>
      <c r="C87" s="5" t="s">
        <v>15</v>
      </c>
      <c r="D87" s="5" t="s">
        <v>16</v>
      </c>
      <c r="E87" s="13" t="s">
        <v>58</v>
      </c>
      <c r="F87" s="14" t="s">
        <v>18</v>
      </c>
      <c r="G87" s="15" t="s">
        <v>19</v>
      </c>
      <c r="H87" s="16" t="s">
        <v>20</v>
      </c>
      <c r="I87" s="17" t="s">
        <v>21</v>
      </c>
      <c r="J87" s="17" t="s">
        <v>22</v>
      </c>
      <c r="K87" s="18" t="s">
        <v>23</v>
      </c>
    </row>
    <row r="88" spans="1:11" ht="15.75" x14ac:dyDescent="0.25">
      <c r="A88" s="19" t="s">
        <v>24</v>
      </c>
      <c r="B88" s="20" t="s">
        <v>74</v>
      </c>
      <c r="C88" s="20" t="s">
        <v>75</v>
      </c>
      <c r="D88" s="20" t="s">
        <v>70</v>
      </c>
      <c r="E88" s="21">
        <v>11.8</v>
      </c>
      <c r="F88" s="21">
        <v>3.94</v>
      </c>
      <c r="G88" s="22">
        <v>30.5</v>
      </c>
      <c r="H88" s="23">
        <v>349</v>
      </c>
      <c r="I88" s="23">
        <f>ROUND(IF(((SQRT($F88)-[4]Konstanten!$G$6)/[4]Konstanten!$H$6)&lt;0,0,((SQRT($F88)-[4]Konstanten!$G$6)/[4]Konstanten!$H$6)),0)</f>
        <v>429</v>
      </c>
      <c r="J88" s="23">
        <f>ROUND(IF(((SQRT($G88)-[4]Konstanten!$G$8)/[4]Konstanten!$H$8)&lt;0,0,((SQRT($G88)-[4]Konstanten!$G$8)/[4]Konstanten!$H$8)),0)</f>
        <v>400</v>
      </c>
      <c r="K88" s="24">
        <f>SUM(H88:J88)</f>
        <v>1178</v>
      </c>
    </row>
    <row r="89" spans="1:11" ht="15.75" x14ac:dyDescent="0.25">
      <c r="A89" s="19" t="s">
        <v>25</v>
      </c>
      <c r="B89" s="20" t="s">
        <v>217</v>
      </c>
      <c r="C89" s="20" t="s">
        <v>265</v>
      </c>
      <c r="D89" s="20" t="s">
        <v>70</v>
      </c>
      <c r="E89" s="21">
        <v>11.5</v>
      </c>
      <c r="F89" s="21">
        <v>3.57</v>
      </c>
      <c r="G89" s="22">
        <v>21</v>
      </c>
      <c r="H89" s="23">
        <v>403</v>
      </c>
      <c r="I89" s="23">
        <f>ROUND(IF(((SQRT($F89)-[4]Konstanten!$G$6)/[4]Konstanten!$H$6)&lt;0,0,((SQRT($F89)-[4]Konstanten!$G$6)/[4]Konstanten!$H$6)),0)</f>
        <v>383</v>
      </c>
      <c r="J89" s="23">
        <f>ROUND(IF(((SQRT($G89)-[4]Konstanten!$G$8)/[4]Konstanten!$H$8)&lt;0,0,((SQRT($G89)-[4]Konstanten!$G$8)/[4]Konstanten!$H$8)),0)</f>
        <v>293</v>
      </c>
      <c r="K89" s="24">
        <f>SUM(H89:J89)</f>
        <v>1079</v>
      </c>
    </row>
    <row r="90" spans="1:11" ht="15.75" x14ac:dyDescent="0.25">
      <c r="A90" s="19"/>
      <c r="B90" s="20"/>
      <c r="C90" s="20"/>
      <c r="D90" s="20"/>
      <c r="E90" s="21"/>
      <c r="F90" s="21"/>
      <c r="G90" s="22"/>
      <c r="H90" s="23"/>
      <c r="I90" s="23"/>
      <c r="J90" s="23"/>
      <c r="K90" s="24"/>
    </row>
    <row r="91" spans="1:11" ht="15.75" x14ac:dyDescent="0.25">
      <c r="A91" s="12"/>
      <c r="B91" s="39"/>
      <c r="C91" s="39"/>
      <c r="D91" s="39"/>
      <c r="E91" s="42"/>
      <c r="F91" s="42"/>
      <c r="G91" s="43"/>
      <c r="H91" s="40"/>
      <c r="I91" s="40"/>
      <c r="J91" s="40"/>
      <c r="K91" s="41"/>
    </row>
    <row r="92" spans="1:11" ht="18" x14ac:dyDescent="0.25">
      <c r="A92" s="5"/>
      <c r="B92" s="6" t="s">
        <v>11</v>
      </c>
      <c r="C92" s="7"/>
      <c r="D92" s="5"/>
      <c r="E92" s="8"/>
      <c r="F92" s="8"/>
      <c r="G92" s="9"/>
      <c r="H92" s="5"/>
      <c r="I92" s="5"/>
      <c r="J92" s="5"/>
      <c r="K92" s="5"/>
    </row>
    <row r="93" spans="1:11" ht="18" x14ac:dyDescent="0.25">
      <c r="A93" s="5"/>
      <c r="B93" s="6" t="s">
        <v>12</v>
      </c>
      <c r="C93" s="6" t="s">
        <v>137</v>
      </c>
      <c r="D93" s="10" t="s">
        <v>138</v>
      </c>
      <c r="E93" s="8"/>
      <c r="F93" s="8"/>
      <c r="G93" s="9"/>
      <c r="H93" s="11">
        <f>ROUND(IF(OR((((50/($E93+0.24))-[9]Konstanten!$G$5)/[9]Konstanten!$H$5)&lt;0,$E93=""),0,(((50/($E93+0.24))-[9]Konstanten!$G$5)/[9]Konstanten!$H$5)),0)</f>
        <v>0</v>
      </c>
      <c r="I93" s="11">
        <f>ROUND(IF(((SQRT($F93)-[9]Konstanten!$G$6)/[9]Konstanten!$H$6)&lt;0,0,((SQRT($F93)-[9]Konstanten!$G$6)/[9]Konstanten!$H$6)),0)</f>
        <v>0</v>
      </c>
      <c r="J93" s="11">
        <f>ROUND(IF(((SQRT($G93)-[9]Konstanten!$G$8)/[9]Konstanten!$H$8)&lt;0,0,((SQRT($G93)-[9]Konstanten!$G$8)/[9]Konstanten!$H$8)),0)</f>
        <v>0</v>
      </c>
      <c r="K93" s="12">
        <f>SUM(H93:J93)</f>
        <v>0</v>
      </c>
    </row>
    <row r="94" spans="1:11" ht="15.75" x14ac:dyDescent="0.25">
      <c r="A94" s="5"/>
      <c r="B94" s="5"/>
      <c r="C94" s="5"/>
      <c r="D94" s="27">
        <v>2004</v>
      </c>
      <c r="E94" s="8"/>
      <c r="F94" s="8"/>
      <c r="G94" s="9"/>
      <c r="H94" s="5"/>
      <c r="I94" s="5"/>
      <c r="J94" s="5"/>
      <c r="K94" s="5"/>
    </row>
    <row r="95" spans="1:11" ht="47.25" x14ac:dyDescent="0.25">
      <c r="A95" s="5" t="s">
        <v>13</v>
      </c>
      <c r="B95" s="5" t="s">
        <v>14</v>
      </c>
      <c r="C95" s="5" t="s">
        <v>15</v>
      </c>
      <c r="D95" s="5" t="s">
        <v>16</v>
      </c>
      <c r="E95" s="13" t="s">
        <v>59</v>
      </c>
      <c r="F95" s="14" t="s">
        <v>18</v>
      </c>
      <c r="G95" s="15" t="s">
        <v>66</v>
      </c>
      <c r="H95" s="16" t="s">
        <v>20</v>
      </c>
      <c r="I95" s="17" t="s">
        <v>21</v>
      </c>
      <c r="J95" s="17" t="s">
        <v>67</v>
      </c>
      <c r="K95" s="18" t="s">
        <v>23</v>
      </c>
    </row>
    <row r="96" spans="1:11" ht="15.75" x14ac:dyDescent="0.25">
      <c r="A96" s="19" t="s">
        <v>24</v>
      </c>
      <c r="B96" s="20" t="s">
        <v>266</v>
      </c>
      <c r="C96" s="20" t="s">
        <v>267</v>
      </c>
      <c r="D96" s="20" t="s">
        <v>70</v>
      </c>
      <c r="E96" s="21">
        <v>16.899999999999999</v>
      </c>
      <c r="F96" s="21">
        <v>3.42</v>
      </c>
      <c r="G96" s="21">
        <v>5.5</v>
      </c>
      <c r="H96" s="23">
        <v>229</v>
      </c>
      <c r="I96" s="23">
        <f>ROUND(IF(((SQRT($F96)-[4]Konstanten!$G$6)/[4]Konstanten!$H$6)&lt;0,0,((SQRT($F96)-[4]Konstanten!$G$6)/[4]Konstanten!$H$6)),0)</f>
        <v>363</v>
      </c>
      <c r="J96" s="23">
        <v>243</v>
      </c>
      <c r="K96" s="24">
        <f t="shared" ref="K96" si="4">SUM(H96:J96)</f>
        <v>835</v>
      </c>
    </row>
    <row r="97" spans="1:11" x14ac:dyDescent="0.2">
      <c r="A97" s="25"/>
      <c r="B97" s="20"/>
      <c r="C97" s="20"/>
      <c r="D97" s="20"/>
      <c r="E97" s="21"/>
      <c r="F97" s="21"/>
      <c r="G97" s="22"/>
      <c r="H97" s="23"/>
      <c r="I97" s="23"/>
      <c r="J97" s="23"/>
      <c r="K97" s="24"/>
    </row>
    <row r="98" spans="1:11" ht="15.75" x14ac:dyDescent="0.25">
      <c r="A98" s="12"/>
      <c r="B98" s="39"/>
      <c r="C98" s="39"/>
      <c r="D98" s="39"/>
      <c r="E98" s="42"/>
      <c r="F98" s="42"/>
      <c r="G98" s="43"/>
      <c r="H98" s="40"/>
      <c r="I98" s="40"/>
      <c r="J98" s="40"/>
      <c r="K98" s="41"/>
    </row>
    <row r="99" spans="1:11" ht="15.75" x14ac:dyDescent="0.25">
      <c r="A99" s="12"/>
      <c r="B99" s="39"/>
      <c r="C99" s="39"/>
      <c r="D99" s="39"/>
      <c r="E99" s="42"/>
      <c r="F99" s="42"/>
      <c r="G99" s="43"/>
      <c r="H99" s="40"/>
      <c r="I99" s="40"/>
      <c r="J99" s="40"/>
      <c r="K99" s="4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8" x14ac:dyDescent="0.25">
      <c r="A101" s="5"/>
      <c r="B101" s="6" t="s">
        <v>11</v>
      </c>
      <c r="C101" s="7"/>
      <c r="D101" s="5"/>
      <c r="E101" s="8"/>
      <c r="F101" s="8"/>
      <c r="G101" s="9"/>
      <c r="H101" s="5"/>
      <c r="I101" s="5"/>
      <c r="J101" s="5"/>
      <c r="K101" s="5"/>
    </row>
    <row r="102" spans="1:11" ht="18" x14ac:dyDescent="0.25">
      <c r="A102" s="5"/>
      <c r="B102" s="6" t="s">
        <v>12</v>
      </c>
      <c r="C102" s="6" t="s">
        <v>65</v>
      </c>
      <c r="D102" s="10" t="s">
        <v>68</v>
      </c>
      <c r="E102" s="8"/>
      <c r="F102" s="8"/>
      <c r="G102" s="9"/>
      <c r="H102" s="11">
        <f>ROUND(IF(OR((((50/($E102+0.24))-[9]Konstanten!$G$5)/[9]Konstanten!$H$5)&lt;0,$E102=""),0,(((50/($E102+0.24))-[9]Konstanten!$G$5)/[9]Konstanten!$H$5)),0)</f>
        <v>0</v>
      </c>
      <c r="I102" s="11">
        <f>ROUND(IF(((SQRT($F102)-[9]Konstanten!$G$6)/[9]Konstanten!$H$6)&lt;0,0,((SQRT($F102)-[9]Konstanten!$G$6)/[9]Konstanten!$H$6)),0)</f>
        <v>0</v>
      </c>
      <c r="J102" s="11">
        <f>ROUND(IF(((SQRT($G102)-[9]Konstanten!$G$8)/[9]Konstanten!$H$8)&lt;0,0,((SQRT($G102)-[9]Konstanten!$G$8)/[9]Konstanten!$H$8)),0)</f>
        <v>0</v>
      </c>
      <c r="K102" s="12">
        <f>SUM(H102:J102)</f>
        <v>0</v>
      </c>
    </row>
    <row r="103" spans="1:11" ht="15.75" x14ac:dyDescent="0.25">
      <c r="A103" s="5"/>
      <c r="B103" s="5"/>
      <c r="C103" s="5"/>
      <c r="D103" s="27">
        <v>0</v>
      </c>
      <c r="E103" s="8"/>
      <c r="F103" s="8"/>
      <c r="G103" s="9"/>
      <c r="H103" s="5"/>
      <c r="I103" s="5"/>
      <c r="J103" s="5"/>
      <c r="K103" s="5"/>
    </row>
    <row r="104" spans="1:11" ht="47.25" x14ac:dyDescent="0.25">
      <c r="A104" s="5" t="s">
        <v>13</v>
      </c>
      <c r="B104" s="5" t="s">
        <v>14</v>
      </c>
      <c r="C104" s="5" t="s">
        <v>15</v>
      </c>
      <c r="D104" s="5" t="s">
        <v>16</v>
      </c>
      <c r="E104" s="13" t="s">
        <v>59</v>
      </c>
      <c r="F104" s="14" t="s">
        <v>18</v>
      </c>
      <c r="G104" s="15" t="s">
        <v>66</v>
      </c>
      <c r="H104" s="16" t="s">
        <v>20</v>
      </c>
      <c r="I104" s="17" t="s">
        <v>21</v>
      </c>
      <c r="J104" s="17" t="s">
        <v>67</v>
      </c>
      <c r="K104" s="18" t="s">
        <v>23</v>
      </c>
    </row>
    <row r="105" spans="1:11" ht="15.75" x14ac:dyDescent="0.25">
      <c r="A105" s="19" t="s">
        <v>24</v>
      </c>
      <c r="B105" s="37" t="s">
        <v>80</v>
      </c>
      <c r="C105" s="37" t="s">
        <v>79</v>
      </c>
      <c r="D105" s="37" t="s">
        <v>69</v>
      </c>
      <c r="E105" s="21">
        <v>14.6</v>
      </c>
      <c r="F105" s="21">
        <v>3.91</v>
      </c>
      <c r="G105" s="21">
        <v>8.4</v>
      </c>
      <c r="H105" s="23">
        <v>514</v>
      </c>
      <c r="I105" s="23">
        <f>ROUND(IF(((SQRT($F105)-[4]Konstanten!$G$6)/[4]Konstanten!$H$6)&lt;0,0,((SQRT($F105)-[4]Konstanten!$G$6)/[4]Konstanten!$H$6)),0)</f>
        <v>425</v>
      </c>
      <c r="J105" s="23">
        <v>425</v>
      </c>
      <c r="K105" s="24">
        <f t="shared" ref="K105" si="5">SUM(H105:J105)</f>
        <v>1364</v>
      </c>
    </row>
    <row r="106" spans="1:11" x14ac:dyDescent="0.2">
      <c r="A106" s="25"/>
      <c r="B106" s="20"/>
      <c r="C106" s="20"/>
      <c r="D106" s="20"/>
      <c r="E106" s="21"/>
      <c r="F106" s="21"/>
      <c r="G106" s="22"/>
      <c r="H106" s="23"/>
      <c r="I106" s="23"/>
      <c r="J106" s="23"/>
      <c r="K106" s="24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8" x14ac:dyDescent="0.25">
      <c r="A108" s="5"/>
      <c r="B108" s="6" t="s">
        <v>11</v>
      </c>
      <c r="C108" s="7"/>
      <c r="D108" s="5"/>
      <c r="E108" s="8"/>
      <c r="F108" s="8"/>
      <c r="G108" s="9"/>
      <c r="H108" s="5"/>
      <c r="I108" s="5"/>
      <c r="J108" s="5"/>
      <c r="K108" s="5"/>
    </row>
    <row r="109" spans="1:11" ht="18" x14ac:dyDescent="0.25">
      <c r="A109" s="5"/>
      <c r="B109" s="6" t="s">
        <v>12</v>
      </c>
      <c r="C109" s="6" t="s">
        <v>61</v>
      </c>
      <c r="D109" s="10" t="s">
        <v>62</v>
      </c>
      <c r="E109" s="8"/>
      <c r="F109" s="8"/>
      <c r="G109" s="9"/>
      <c r="H109" s="11">
        <f>ROUND(IF(OR((((50/($E109+0.24))-[9]Konstanten!$G$5)/[9]Konstanten!$H$5)&lt;0,$E109=""),0,(((50/($E109+0.24))-[9]Konstanten!$G$5)/[9]Konstanten!$H$5)),0)</f>
        <v>0</v>
      </c>
      <c r="I109" s="11">
        <f>ROUND(IF(((SQRT($F109)-[9]Konstanten!$G$6)/[9]Konstanten!$H$6)&lt;0,0,((SQRT($F109)-[9]Konstanten!$G$6)/[9]Konstanten!$H$6)),0)</f>
        <v>0</v>
      </c>
      <c r="J109" s="11">
        <f>ROUND(IF(((SQRT($G109)-[9]Konstanten!$G$8)/[9]Konstanten!$H$8)&lt;0,0,((SQRT($G109)-[9]Konstanten!$G$8)/[9]Konstanten!$H$8)),0)</f>
        <v>0</v>
      </c>
      <c r="K109" s="12">
        <f>SUM(H109:J109)</f>
        <v>0</v>
      </c>
    </row>
    <row r="110" spans="1:11" ht="15.75" x14ac:dyDescent="0.25">
      <c r="A110" s="5"/>
      <c r="B110" s="5"/>
      <c r="C110" s="5"/>
      <c r="D110" s="27">
        <v>0</v>
      </c>
      <c r="E110" s="8"/>
      <c r="F110" s="8"/>
      <c r="G110" s="9"/>
      <c r="H110" s="5"/>
      <c r="I110" s="5"/>
      <c r="J110" s="5"/>
      <c r="K110" s="5"/>
    </row>
    <row r="111" spans="1:11" ht="47.25" x14ac:dyDescent="0.25">
      <c r="A111" s="5" t="s">
        <v>13</v>
      </c>
      <c r="B111" s="5" t="s">
        <v>14</v>
      </c>
      <c r="C111" s="5" t="s">
        <v>15</v>
      </c>
      <c r="D111" s="5" t="s">
        <v>16</v>
      </c>
      <c r="E111" s="13" t="s">
        <v>59</v>
      </c>
      <c r="F111" s="14" t="s">
        <v>18</v>
      </c>
      <c r="G111" s="15" t="s">
        <v>60</v>
      </c>
      <c r="H111" s="16" t="s">
        <v>20</v>
      </c>
      <c r="I111" s="17" t="s">
        <v>21</v>
      </c>
      <c r="J111" s="17" t="s">
        <v>67</v>
      </c>
      <c r="K111" s="18" t="s">
        <v>23</v>
      </c>
    </row>
    <row r="112" spans="1:11" ht="15.75" x14ac:dyDescent="0.25">
      <c r="A112" s="19" t="s">
        <v>24</v>
      </c>
      <c r="B112" s="37" t="s">
        <v>77</v>
      </c>
      <c r="C112" s="37" t="s">
        <v>78</v>
      </c>
      <c r="D112" s="37" t="s">
        <v>69</v>
      </c>
      <c r="E112" s="21">
        <v>14.8</v>
      </c>
      <c r="F112" s="21">
        <v>3.68</v>
      </c>
      <c r="G112" s="21">
        <v>6.05</v>
      </c>
      <c r="H112" s="23">
        <v>485</v>
      </c>
      <c r="I112" s="23">
        <f>ROUND(IF(((SQRT($F112)-[4]Konstanten!$G$6)/[4]Konstanten!$H$6)&lt;0,0,((SQRT($F112)-[4]Konstanten!$G$6)/[4]Konstanten!$H$6)),0)</f>
        <v>397</v>
      </c>
      <c r="J112" s="23">
        <v>274</v>
      </c>
      <c r="K112" s="24">
        <f>SUM(H112:J112)</f>
        <v>1156</v>
      </c>
    </row>
    <row r="113" spans="1:11" x14ac:dyDescent="0.2">
      <c r="A113" s="25"/>
      <c r="B113" s="20"/>
      <c r="C113" s="20"/>
      <c r="D113" s="20"/>
      <c r="E113" s="21"/>
      <c r="F113" s="21"/>
      <c r="G113" s="22"/>
      <c r="H113" s="23"/>
      <c r="I113" s="23"/>
      <c r="J113" s="23"/>
      <c r="K113" s="24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8" x14ac:dyDescent="0.25">
      <c r="A115" s="5"/>
      <c r="B115" s="6" t="s">
        <v>11</v>
      </c>
      <c r="C115" s="7"/>
      <c r="D115" s="5"/>
      <c r="E115" s="8"/>
      <c r="F115" s="8"/>
      <c r="G115" s="9"/>
      <c r="H115" s="5"/>
      <c r="I115" s="5"/>
      <c r="J115" s="5"/>
      <c r="K115" s="5"/>
    </row>
    <row r="116" spans="1:11" ht="18" x14ac:dyDescent="0.25">
      <c r="A116" s="5"/>
      <c r="B116" s="6" t="s">
        <v>12</v>
      </c>
      <c r="C116" s="6" t="s">
        <v>113</v>
      </c>
      <c r="D116" s="10" t="s">
        <v>114</v>
      </c>
      <c r="E116" s="8"/>
      <c r="F116" s="8"/>
      <c r="G116" s="9"/>
      <c r="H116" s="11">
        <f>ROUND(IF(OR((((50/($E116+0.24))-[9]Konstanten!$G$5)/[9]Konstanten!$H$5)&lt;0,$E116=""),0,(((50/($E116+0.24))-[9]Konstanten!$G$5)/[9]Konstanten!$H$5)),0)</f>
        <v>0</v>
      </c>
      <c r="I116" s="11">
        <f>ROUND(IF(((SQRT($F116)-[9]Konstanten!$G$6)/[9]Konstanten!$H$6)&lt;0,0,((SQRT($F116)-[9]Konstanten!$G$6)/[9]Konstanten!$H$6)),0)</f>
        <v>0</v>
      </c>
      <c r="J116" s="11">
        <f>ROUND(IF(((SQRT($G116)-[9]Konstanten!$G$8)/[9]Konstanten!$H$8)&lt;0,0,((SQRT($G116)-[9]Konstanten!$G$8)/[9]Konstanten!$H$8)),0)</f>
        <v>0</v>
      </c>
      <c r="K116" s="12">
        <f>SUM(H116:J116)</f>
        <v>0</v>
      </c>
    </row>
    <row r="117" spans="1:11" ht="15.75" x14ac:dyDescent="0.25">
      <c r="A117" s="5"/>
      <c r="B117" s="5"/>
      <c r="C117" s="5"/>
      <c r="D117" s="27">
        <v>0</v>
      </c>
      <c r="E117" s="8"/>
      <c r="F117" s="8"/>
      <c r="G117" s="9"/>
      <c r="H117" s="5"/>
      <c r="I117" s="5"/>
      <c r="J117" s="5"/>
      <c r="K117" s="5"/>
    </row>
    <row r="118" spans="1:11" ht="47.25" x14ac:dyDescent="0.25">
      <c r="A118" s="5" t="s">
        <v>13</v>
      </c>
      <c r="B118" s="5" t="s">
        <v>14</v>
      </c>
      <c r="C118" s="5" t="s">
        <v>15</v>
      </c>
      <c r="D118" s="5" t="s">
        <v>16</v>
      </c>
      <c r="E118" s="13" t="s">
        <v>59</v>
      </c>
      <c r="F118" s="14" t="s">
        <v>18</v>
      </c>
      <c r="G118" s="15" t="s">
        <v>60</v>
      </c>
      <c r="H118" s="16" t="s">
        <v>20</v>
      </c>
      <c r="I118" s="17" t="s">
        <v>21</v>
      </c>
      <c r="J118" s="17" t="s">
        <v>67</v>
      </c>
      <c r="K118" s="18" t="s">
        <v>23</v>
      </c>
    </row>
    <row r="119" spans="1:11" ht="15.75" x14ac:dyDescent="0.25">
      <c r="A119" s="19" t="s">
        <v>24</v>
      </c>
      <c r="B119" s="20" t="s">
        <v>95</v>
      </c>
      <c r="C119" s="20" t="s">
        <v>76</v>
      </c>
      <c r="D119" s="20" t="s">
        <v>70</v>
      </c>
      <c r="E119" s="21">
        <v>15</v>
      </c>
      <c r="F119" s="21">
        <v>3.82</v>
      </c>
      <c r="G119" s="21">
        <v>5.79</v>
      </c>
      <c r="H119" s="23">
        <v>457</v>
      </c>
      <c r="I119" s="23">
        <f>ROUND(IF(((SQRT($F119)-[4]Konstanten!$G$6)/[4]Konstanten!$H$6)&lt;0,0,((SQRT($F119)-[4]Konstanten!$G$6)/[4]Konstanten!$H$6)),0)</f>
        <v>414</v>
      </c>
      <c r="J119" s="23">
        <v>258</v>
      </c>
      <c r="K119" s="24">
        <f>SUM(H119:J119)</f>
        <v>1129</v>
      </c>
    </row>
    <row r="120" spans="1:11" x14ac:dyDescent="0.2">
      <c r="A120" s="25"/>
      <c r="B120" s="20"/>
      <c r="C120" s="20"/>
      <c r="D120" s="20"/>
      <c r="E120" s="21"/>
      <c r="F120" s="21"/>
      <c r="G120" s="22"/>
      <c r="H120" s="23"/>
      <c r="I120" s="23"/>
      <c r="J120" s="23"/>
      <c r="K120" s="24"/>
    </row>
    <row r="121" spans="1:11" x14ac:dyDescent="0.2">
      <c r="B121" s="39"/>
      <c r="C121" s="39"/>
      <c r="D121" s="39"/>
      <c r="E121" s="42"/>
      <c r="F121" s="42"/>
      <c r="G121" s="43"/>
      <c r="H121" s="40"/>
      <c r="I121" s="40"/>
      <c r="J121" s="40"/>
      <c r="K121" s="1"/>
    </row>
    <row r="122" spans="1:11" ht="18" x14ac:dyDescent="0.25">
      <c r="A122" s="5"/>
      <c r="B122" s="6" t="s">
        <v>11</v>
      </c>
      <c r="C122" s="7"/>
      <c r="D122" s="5"/>
      <c r="E122" s="8"/>
      <c r="F122" s="8"/>
      <c r="G122" s="9"/>
      <c r="H122" s="5"/>
      <c r="I122" s="5"/>
      <c r="J122" s="5"/>
      <c r="K122" s="5"/>
    </row>
    <row r="123" spans="1:11" ht="18" x14ac:dyDescent="0.25">
      <c r="A123" s="5"/>
      <c r="B123" s="6" t="s">
        <v>12</v>
      </c>
      <c r="C123" s="6" t="s">
        <v>268</v>
      </c>
      <c r="D123" s="10" t="s">
        <v>269</v>
      </c>
      <c r="E123" s="8"/>
      <c r="F123" s="8"/>
      <c r="G123" s="9"/>
      <c r="H123" s="11">
        <f>ROUND(IF(OR((((50/($E123+0.24))-[9]Konstanten!$G$5)/[9]Konstanten!$H$5)&lt;0,$E123=""),0,(((50/($E123+0.24))-[9]Konstanten!$G$5)/[9]Konstanten!$H$5)),0)</f>
        <v>0</v>
      </c>
      <c r="I123" s="11">
        <f>ROUND(IF(((SQRT($F123)-[9]Konstanten!$G$6)/[9]Konstanten!$H$6)&lt;0,0,((SQRT($F123)-[9]Konstanten!$G$6)/[9]Konstanten!$H$6)),0)</f>
        <v>0</v>
      </c>
      <c r="J123" s="11">
        <f>ROUND(IF(((SQRT($G123)-[9]Konstanten!$G$8)/[9]Konstanten!$H$8)&lt;0,0,((SQRT($G123)-[9]Konstanten!$G$8)/[9]Konstanten!$H$8)),0)</f>
        <v>0</v>
      </c>
      <c r="K123" s="12">
        <f>SUM(H123:J123)</f>
        <v>0</v>
      </c>
    </row>
    <row r="124" spans="1:11" ht="15.75" x14ac:dyDescent="0.25">
      <c r="A124" s="5"/>
      <c r="B124" s="5"/>
      <c r="C124" s="5"/>
      <c r="D124" s="27">
        <v>0</v>
      </c>
      <c r="E124" s="8"/>
      <c r="F124" s="8"/>
      <c r="G124" s="9"/>
      <c r="H124" s="5"/>
      <c r="I124" s="5"/>
      <c r="J124" s="5"/>
      <c r="K124" s="5"/>
    </row>
    <row r="125" spans="1:11" ht="47.25" x14ac:dyDescent="0.25">
      <c r="A125" s="5" t="s">
        <v>13</v>
      </c>
      <c r="B125" s="5" t="s">
        <v>14</v>
      </c>
      <c r="C125" s="5" t="s">
        <v>15</v>
      </c>
      <c r="D125" s="5" t="s">
        <v>16</v>
      </c>
      <c r="E125" s="13" t="s">
        <v>17</v>
      </c>
      <c r="F125" s="14" t="s">
        <v>18</v>
      </c>
      <c r="G125" s="15" t="s">
        <v>60</v>
      </c>
      <c r="H125" s="16" t="s">
        <v>20</v>
      </c>
      <c r="I125" s="17" t="s">
        <v>21</v>
      </c>
      <c r="J125" s="17" t="s">
        <v>67</v>
      </c>
      <c r="K125" s="18" t="s">
        <v>23</v>
      </c>
    </row>
    <row r="126" spans="1:11" ht="15.75" x14ac:dyDescent="0.25">
      <c r="A126" s="19" t="s">
        <v>24</v>
      </c>
      <c r="B126" s="20" t="s">
        <v>95</v>
      </c>
      <c r="C126" s="20" t="s">
        <v>270</v>
      </c>
      <c r="D126" s="20" t="s">
        <v>70</v>
      </c>
      <c r="E126" s="21">
        <v>8.3000000000000007</v>
      </c>
      <c r="F126" s="21">
        <v>3.67</v>
      </c>
      <c r="G126" s="21">
        <v>7.06</v>
      </c>
      <c r="H126" s="23">
        <v>339</v>
      </c>
      <c r="I126" s="23">
        <f>ROUND(IF(((SQRT($F126)-[4]Konstanten!$G$6)/[4]Konstanten!$H$6)&lt;0,0,((SQRT($F126)-[4]Konstanten!$G$6)/[4]Konstanten!$H$6)),0)</f>
        <v>395</v>
      </c>
      <c r="J126" s="23">
        <v>339</v>
      </c>
      <c r="K126" s="24">
        <f>SUM(H126:J126)</f>
        <v>1073</v>
      </c>
    </row>
    <row r="127" spans="1:11" x14ac:dyDescent="0.2">
      <c r="A127" s="25"/>
      <c r="B127" s="20"/>
      <c r="C127" s="20"/>
      <c r="D127" s="20"/>
      <c r="E127" s="21"/>
      <c r="F127" s="21"/>
      <c r="G127" s="22"/>
      <c r="H127" s="23"/>
      <c r="I127" s="23"/>
      <c r="J127" s="23"/>
      <c r="K127" s="24"/>
    </row>
    <row r="128" spans="1:11" x14ac:dyDescent="0.2">
      <c r="B128" s="39"/>
      <c r="C128" s="39"/>
      <c r="D128" s="39"/>
      <c r="E128" s="42"/>
      <c r="F128" s="42"/>
      <c r="G128" s="43"/>
      <c r="H128" s="40"/>
      <c r="I128" s="40"/>
      <c r="J128" s="40"/>
      <c r="K128" s="41"/>
    </row>
    <row r="129" spans="1:11" x14ac:dyDescent="0.2">
      <c r="B129" s="39"/>
      <c r="C129" s="39"/>
      <c r="D129" s="39"/>
      <c r="E129" s="42"/>
      <c r="F129" s="42"/>
      <c r="G129" s="43"/>
      <c r="H129" s="40"/>
      <c r="I129" s="40"/>
      <c r="J129" s="40"/>
      <c r="K129" s="4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8" x14ac:dyDescent="0.25">
      <c r="A131" s="5"/>
      <c r="B131" s="33" t="s">
        <v>11</v>
      </c>
      <c r="C131" s="34"/>
      <c r="D131" s="5"/>
      <c r="E131" s="8"/>
      <c r="F131" s="8"/>
      <c r="G131" s="9"/>
      <c r="H131" s="5"/>
      <c r="I131" s="5"/>
      <c r="J131" s="5"/>
      <c r="K131" s="5"/>
    </row>
    <row r="132" spans="1:11" ht="18" x14ac:dyDescent="0.25">
      <c r="A132" s="5"/>
      <c r="B132" s="33" t="s">
        <v>12</v>
      </c>
      <c r="C132" s="33" t="s">
        <v>41</v>
      </c>
      <c r="D132" s="35" t="s">
        <v>42</v>
      </c>
      <c r="E132" s="8"/>
      <c r="F132" s="8"/>
      <c r="G132" s="9"/>
      <c r="H132" s="11">
        <f>ROUND(IF(OR((((50/($E132+0.24))-[10]Konstanten!$G$5)/[10]Konstanten!$H$5)&lt;0,$E132=""),0,(((50/($E132+0.24))-[10]Konstanten!$G$5)/[10]Konstanten!$H$5)),0)</f>
        <v>0</v>
      </c>
      <c r="I132" s="11">
        <f>ROUND(IF(((SQRT($F132)-[10]Konstanten!$G$6)/[10]Konstanten!$H$6)&lt;0,0,((SQRT($F132)-[10]Konstanten!$G$6)/[10]Konstanten!$H$6)),0)</f>
        <v>0</v>
      </c>
      <c r="J132" s="11">
        <f>ROUND(IF(((SQRT($G132)-[10]Konstanten!$G$8)/[10]Konstanten!$H$8)&lt;0,0,((SQRT($G132)-[10]Konstanten!$G$8)/[10]Konstanten!$H$8)),0)</f>
        <v>0</v>
      </c>
      <c r="K132" s="12">
        <f>SUM(H132:J132)</f>
        <v>0</v>
      </c>
    </row>
    <row r="133" spans="1:11" ht="15.75" x14ac:dyDescent="0.25">
      <c r="A133" s="5"/>
      <c r="B133" s="5"/>
      <c r="C133" s="5"/>
      <c r="D133" s="27">
        <v>2012</v>
      </c>
      <c r="E133" s="8"/>
      <c r="F133" s="8"/>
      <c r="G133" s="9"/>
      <c r="H133" s="5"/>
      <c r="I133" s="5"/>
      <c r="J133" s="5"/>
      <c r="K133" s="5"/>
    </row>
    <row r="134" spans="1:11" ht="47.25" x14ac:dyDescent="0.25">
      <c r="A134" s="5" t="s">
        <v>13</v>
      </c>
      <c r="B134" s="5" t="s">
        <v>14</v>
      </c>
      <c r="C134" s="5" t="s">
        <v>15</v>
      </c>
      <c r="D134" s="5" t="s">
        <v>16</v>
      </c>
      <c r="E134" s="13" t="s">
        <v>17</v>
      </c>
      <c r="F134" s="14" t="s">
        <v>18</v>
      </c>
      <c r="G134" s="15" t="s">
        <v>19</v>
      </c>
      <c r="H134" s="16" t="s">
        <v>20</v>
      </c>
      <c r="I134" s="17" t="s">
        <v>21</v>
      </c>
      <c r="J134" s="17" t="s">
        <v>22</v>
      </c>
      <c r="K134" s="18" t="s">
        <v>23</v>
      </c>
    </row>
    <row r="135" spans="1:11" ht="15.75" x14ac:dyDescent="0.25">
      <c r="A135" s="19" t="s">
        <v>24</v>
      </c>
      <c r="B135" s="20" t="s">
        <v>192</v>
      </c>
      <c r="C135" s="20" t="s">
        <v>166</v>
      </c>
      <c r="D135" s="20" t="s">
        <v>191</v>
      </c>
      <c r="E135" s="21">
        <v>11</v>
      </c>
      <c r="F135" s="21">
        <v>1.95</v>
      </c>
      <c r="G135" s="22">
        <v>9</v>
      </c>
      <c r="H135" s="23">
        <f>ROUND(IF(OR((((50/($E135+0.24))-[2]Konstanten!$G$5)/[2]Konstanten!$H$5)&lt;0,$E135=""),0,(((50/($E135+0.24))-[2]Konstanten!$G$5)/[2]Konstanten!$H$5)),0)</f>
        <v>121</v>
      </c>
      <c r="I135" s="23">
        <f>ROUND(IF(((SQRT($F135)-[2]Konstanten!$G$6)/[2]Konstanten!$H$6)&lt;0,0,((SQRT($F135)-[2]Konstanten!$G$6)/[2]Konstanten!$H$6)),0)</f>
        <v>146</v>
      </c>
      <c r="J135" s="23">
        <f>ROUND(IF(((SQRT($G135)-[2]Konstanten!$G$8)/[2]Konstanten!$H$8)&lt;0,0,((SQRT($G135)-[2]Konstanten!$G$8)/[2]Konstanten!$H$8)),0)</f>
        <v>112</v>
      </c>
      <c r="K135" s="24">
        <f>SUM(H135:J135)</f>
        <v>379</v>
      </c>
    </row>
    <row r="136" spans="1:11" ht="15.75" x14ac:dyDescent="0.25">
      <c r="A136" s="19" t="s">
        <v>25</v>
      </c>
      <c r="B136" s="25" t="s">
        <v>94</v>
      </c>
      <c r="C136" s="20" t="s">
        <v>216</v>
      </c>
      <c r="D136" s="20" t="s">
        <v>70</v>
      </c>
      <c r="E136" s="21">
        <v>10.8</v>
      </c>
      <c r="F136" s="21">
        <v>2.21</v>
      </c>
      <c r="G136" s="22">
        <v>6</v>
      </c>
      <c r="H136" s="23">
        <f>ROUND(IF(OR((((50/($E136+0.24))-[2]Konstanten!$G$5)/[2]Konstanten!$H$5)&lt;0,$E136=""),0,(((50/($E136+0.24))-[2]Konstanten!$G$5)/[2]Konstanten!$H$5)),0)</f>
        <v>133</v>
      </c>
      <c r="I136" s="23">
        <f>ROUND(IF(((SQRT($F136)-[2]Konstanten!$G$6)/[2]Konstanten!$H$6)&lt;0,0,((SQRT($F136)-[2]Konstanten!$G$6)/[2]Konstanten!$H$6)),0)</f>
        <v>189</v>
      </c>
      <c r="J136" s="23">
        <f>ROUND(IF(((SQRT($G136)-[2]Konstanten!$G$8)/[2]Konstanten!$H$8)&lt;0,0,((SQRT($G136)-[2]Konstanten!$G$8)/[2]Konstanten!$H$8)),0)</f>
        <v>49</v>
      </c>
      <c r="K136" s="24">
        <f>SUM(H136:J136)</f>
        <v>371</v>
      </c>
    </row>
    <row r="137" spans="1:11" ht="15.75" x14ac:dyDescent="0.25">
      <c r="A137" s="19" t="s">
        <v>124</v>
      </c>
      <c r="B137" s="25" t="s">
        <v>220</v>
      </c>
      <c r="C137" s="20" t="s">
        <v>221</v>
      </c>
      <c r="D137" s="20" t="s">
        <v>70</v>
      </c>
      <c r="E137" s="21">
        <v>12.1</v>
      </c>
      <c r="F137" s="21">
        <v>1.7</v>
      </c>
      <c r="G137" s="22">
        <v>5</v>
      </c>
      <c r="H137" s="23">
        <f>ROUND(IF(OR((((50/($E137+0.24))-[2]Konstanten!$G$5)/[2]Konstanten!$H$5)&lt;0,$E137=""),0,(((50/($E137+0.24))-[2]Konstanten!$G$5)/[2]Konstanten!$H$5)),0)</f>
        <v>61</v>
      </c>
      <c r="I137" s="23">
        <f>ROUND(IF(((SQRT($F137)-[2]Konstanten!$G$6)/[2]Konstanten!$H$6)&lt;0,0,((SQRT($F137)-[2]Konstanten!$G$6)/[2]Konstanten!$H$6)),0)</f>
        <v>101</v>
      </c>
      <c r="J137" s="23">
        <f>ROUND(IF(((SQRT($G137)-[2]Konstanten!$G$8)/[2]Konstanten!$H$8)&lt;0,0,((SQRT($G137)-[2]Konstanten!$G$8)/[2]Konstanten!$H$8)),0)</f>
        <v>24</v>
      </c>
      <c r="K137" s="24">
        <f>SUM(H137:J137)</f>
        <v>186</v>
      </c>
    </row>
    <row r="138" spans="1:11" ht="15.75" x14ac:dyDescent="0.25">
      <c r="A138" s="26"/>
      <c r="B138" s="20"/>
      <c r="C138" s="20"/>
      <c r="D138" s="20"/>
      <c r="E138" s="21"/>
      <c r="F138" s="21"/>
      <c r="G138" s="22"/>
      <c r="H138" s="23"/>
      <c r="I138" s="23"/>
      <c r="J138" s="23"/>
      <c r="K138" s="24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8" x14ac:dyDescent="0.25">
      <c r="A140" s="5"/>
      <c r="B140" s="33" t="s">
        <v>11</v>
      </c>
      <c r="C140" s="34"/>
      <c r="D140" s="5"/>
      <c r="E140" s="8"/>
      <c r="F140" s="8"/>
      <c r="G140" s="9"/>
      <c r="H140" s="5"/>
      <c r="I140" s="5"/>
      <c r="J140" s="5"/>
      <c r="K140" s="5"/>
    </row>
    <row r="141" spans="1:11" ht="18" x14ac:dyDescent="0.25">
      <c r="A141" s="5"/>
      <c r="B141" s="33" t="s">
        <v>12</v>
      </c>
      <c r="C141" s="33" t="s">
        <v>43</v>
      </c>
      <c r="D141" s="35" t="s">
        <v>44</v>
      </c>
      <c r="E141" s="8"/>
      <c r="F141" s="8"/>
      <c r="G141" s="9"/>
      <c r="H141" s="11">
        <f>ROUND(IF(OR((((50/($E141+0.24))-[11]Konstanten!$G$5)/[11]Konstanten!$H$5)&lt;0,$E141=""),0,(((50/($E141+0.24))-[11]Konstanten!$G$5)/[11]Konstanten!$H$5)),0)</f>
        <v>0</v>
      </c>
      <c r="I141" s="11">
        <f>ROUND(IF(((SQRT($F141)-[11]Konstanten!$G$6)/[11]Konstanten!$H$6)&lt;0,0,((SQRT($F141)-[11]Konstanten!$G$6)/[11]Konstanten!$H$6)),0)</f>
        <v>0</v>
      </c>
      <c r="J141" s="11">
        <f>ROUND(IF(((SQRT($G141)-[11]Konstanten!$G$8)/[11]Konstanten!$H$8)&lt;0,0,((SQRT($G141)-[11]Konstanten!$G$8)/[11]Konstanten!$H$8)),0)</f>
        <v>0</v>
      </c>
      <c r="K141" s="12">
        <f>SUM(H141:J141)</f>
        <v>0</v>
      </c>
    </row>
    <row r="142" spans="1:11" ht="15.75" x14ac:dyDescent="0.25">
      <c r="A142" s="5"/>
      <c r="B142" s="5"/>
      <c r="C142" s="5"/>
      <c r="D142" s="27">
        <v>2011</v>
      </c>
      <c r="E142" s="8"/>
      <c r="F142" s="8"/>
      <c r="G142" s="9"/>
      <c r="H142" s="5"/>
      <c r="I142" s="5"/>
      <c r="J142" s="5"/>
      <c r="K142" s="5"/>
    </row>
    <row r="143" spans="1:11" ht="47.25" x14ac:dyDescent="0.25">
      <c r="A143" s="5" t="s">
        <v>13</v>
      </c>
      <c r="B143" s="5" t="s">
        <v>14</v>
      </c>
      <c r="C143" s="5" t="s">
        <v>15</v>
      </c>
      <c r="D143" s="5" t="s">
        <v>16</v>
      </c>
      <c r="E143" s="13" t="s">
        <v>17</v>
      </c>
      <c r="F143" s="14" t="s">
        <v>18</v>
      </c>
      <c r="G143" s="15" t="s">
        <v>19</v>
      </c>
      <c r="H143" s="16" t="s">
        <v>20</v>
      </c>
      <c r="I143" s="17" t="s">
        <v>21</v>
      </c>
      <c r="J143" s="17" t="s">
        <v>22</v>
      </c>
      <c r="K143" s="18" t="s">
        <v>23</v>
      </c>
    </row>
    <row r="144" spans="1:11" ht="15.75" x14ac:dyDescent="0.25">
      <c r="A144" s="19" t="s">
        <v>24</v>
      </c>
      <c r="B144" s="20" t="s">
        <v>157</v>
      </c>
      <c r="C144" s="20" t="s">
        <v>159</v>
      </c>
      <c r="D144" s="20" t="s">
        <v>158</v>
      </c>
      <c r="E144" s="21">
        <v>9.6</v>
      </c>
      <c r="F144" s="21">
        <v>2.64</v>
      </c>
      <c r="G144" s="22">
        <v>14.5</v>
      </c>
      <c r="H144" s="23">
        <f>ROUND(IF(OR((((50/($E144+0.24))-[2]Konstanten!$G$5)/[2]Konstanten!$H$5)&lt;0,$E144=""),0,(((50/($E144+0.24))-[2]Konstanten!$G$5)/[2]Konstanten!$H$5)),0)</f>
        <v>217</v>
      </c>
      <c r="I144" s="23">
        <f>ROUND(IF(((SQRT($F144)-[2]Konstanten!$G$6)/[2]Konstanten!$H$6)&lt;0,0,((SQRT($F144)-[2]Konstanten!$G$6)/[2]Konstanten!$H$6)),0)</f>
        <v>255</v>
      </c>
      <c r="J144" s="23">
        <f>ROUND(IF(((SQRT($G144)-[2]Konstanten!$G$8)/[2]Konstanten!$H$8)&lt;0,0,((SQRT($G144)-[2]Konstanten!$G$8)/[2]Konstanten!$H$8)),0)</f>
        <v>204</v>
      </c>
      <c r="K144" s="24">
        <f>SUM(H144:J144)</f>
        <v>676</v>
      </c>
    </row>
    <row r="145" spans="1:11" ht="15.75" x14ac:dyDescent="0.25">
      <c r="A145" s="19" t="s">
        <v>25</v>
      </c>
      <c r="B145" s="20" t="s">
        <v>160</v>
      </c>
      <c r="C145" s="20" t="s">
        <v>161</v>
      </c>
      <c r="D145" s="20" t="s">
        <v>158</v>
      </c>
      <c r="E145" s="21">
        <v>9.8000000000000007</v>
      </c>
      <c r="F145" s="21">
        <v>2.52</v>
      </c>
      <c r="G145" s="22">
        <v>15</v>
      </c>
      <c r="H145" s="23">
        <f>ROUND(IF(OR((((50/($E145+0.24))-[2]Konstanten!$G$5)/[2]Konstanten!$H$5)&lt;0,$E145=""),0,(((50/($E145+0.24))-[2]Konstanten!$G$5)/[2]Konstanten!$H$5)),0)</f>
        <v>202</v>
      </c>
      <c r="I145" s="23">
        <f>ROUND(IF(((SQRT($F145)-[2]Konstanten!$G$6)/[2]Konstanten!$H$6)&lt;0,0,((SQRT($F145)-[2]Konstanten!$G$6)/[2]Konstanten!$H$6)),0)</f>
        <v>237</v>
      </c>
      <c r="J145" s="23">
        <f>ROUND(IF(((SQRT($G145)-[2]Konstanten!$G$8)/[2]Konstanten!$H$8)&lt;0,0,((SQRT($G145)-[2]Konstanten!$G$8)/[2]Konstanten!$H$8)),0)</f>
        <v>212</v>
      </c>
      <c r="K145" s="24">
        <f>SUM(H145:J145)</f>
        <v>651</v>
      </c>
    </row>
    <row r="146" spans="1:11" ht="15.75" x14ac:dyDescent="0.25">
      <c r="A146" s="19" t="s">
        <v>124</v>
      </c>
      <c r="B146" s="20" t="s">
        <v>218</v>
      </c>
      <c r="C146" s="20" t="s">
        <v>219</v>
      </c>
      <c r="D146" s="20" t="s">
        <v>70</v>
      </c>
      <c r="E146" s="21">
        <v>9.1</v>
      </c>
      <c r="F146" s="21">
        <v>2.6</v>
      </c>
      <c r="G146" s="22">
        <v>10.5</v>
      </c>
      <c r="H146" s="23">
        <f>ROUND(IF(OR((((50/($E146+0.24))-[2]Konstanten!$G$5)/[2]Konstanten!$H$5)&lt;0,$E146=""),0,(((50/($E146+0.24))-[2]Konstanten!$G$5)/[2]Konstanten!$H$5)),0)</f>
        <v>258</v>
      </c>
      <c r="I146" s="23">
        <f>ROUND(IF(((SQRT($F146)-[2]Konstanten!$G$6)/[2]Konstanten!$H$6)&lt;0,0,((SQRT($F146)-[2]Konstanten!$G$6)/[2]Konstanten!$H$6)),0)</f>
        <v>249</v>
      </c>
      <c r="J146" s="23">
        <f>ROUND(IF(((SQRT($G146)-[2]Konstanten!$G$8)/[2]Konstanten!$H$8)&lt;0,0,((SQRT($G146)-[2]Konstanten!$G$8)/[2]Konstanten!$H$8)),0)</f>
        <v>139</v>
      </c>
      <c r="K146" s="24">
        <f>SUM(H146:J146)</f>
        <v>646</v>
      </c>
    </row>
    <row r="147" spans="1:11" ht="15.75" x14ac:dyDescent="0.25">
      <c r="A147" s="19" t="s">
        <v>125</v>
      </c>
      <c r="B147" s="20" t="s">
        <v>217</v>
      </c>
      <c r="C147" s="20" t="s">
        <v>85</v>
      </c>
      <c r="D147" s="20" t="s">
        <v>70</v>
      </c>
      <c r="E147" s="21">
        <v>10.4</v>
      </c>
      <c r="F147" s="21">
        <v>2.27</v>
      </c>
      <c r="G147" s="22">
        <v>11.5</v>
      </c>
      <c r="H147" s="23">
        <f>ROUND(IF(OR((((50/($E147+0.24))-[2]Konstanten!$G$5)/[2]Konstanten!$H$5)&lt;0,$E147=""),0,(((50/($E147+0.24))-[2]Konstanten!$G$5)/[2]Konstanten!$H$5)),0)</f>
        <v>159</v>
      </c>
      <c r="I147" s="23">
        <f>ROUND(IF(((SQRT($F147)-[2]Konstanten!$G$6)/[2]Konstanten!$H$6)&lt;0,0,((SQRT($F147)-[2]Konstanten!$G$6)/[2]Konstanten!$H$6)),0)</f>
        <v>199</v>
      </c>
      <c r="J147" s="23">
        <f>ROUND(IF(((SQRT($G147)-[2]Konstanten!$G$8)/[2]Konstanten!$H$8)&lt;0,0,((SQRT($G147)-[2]Konstanten!$G$8)/[2]Konstanten!$H$8)),0)</f>
        <v>157</v>
      </c>
      <c r="K147" s="24">
        <f>SUM(H147:J147)</f>
        <v>515</v>
      </c>
    </row>
    <row r="148" spans="1:11" ht="15.75" x14ac:dyDescent="0.25">
      <c r="A148" s="19" t="s">
        <v>128</v>
      </c>
      <c r="B148" s="20" t="s">
        <v>155</v>
      </c>
      <c r="C148" s="20" t="s">
        <v>156</v>
      </c>
      <c r="D148" s="20" t="s">
        <v>147</v>
      </c>
      <c r="E148" s="21">
        <v>10.4</v>
      </c>
      <c r="F148" s="21">
        <v>2.2200000000000002</v>
      </c>
      <c r="G148" s="22">
        <v>11.5</v>
      </c>
      <c r="H148" s="23">
        <f>ROUND(IF(OR((((50/($E148+0.24))-[2]Konstanten!$G$5)/[2]Konstanten!$H$5)&lt;0,$E148=""),0,(((50/($E148+0.24))-[2]Konstanten!$G$5)/[2]Konstanten!$H$5)),0)</f>
        <v>159</v>
      </c>
      <c r="I148" s="23">
        <f>ROUND(IF(((SQRT($F148)-[2]Konstanten!$G$6)/[2]Konstanten!$H$6)&lt;0,0,((SQRT($F148)-[2]Konstanten!$G$6)/[2]Konstanten!$H$6)),0)</f>
        <v>191</v>
      </c>
      <c r="J148" s="23">
        <f>ROUND(IF(((SQRT($G148)-[2]Konstanten!$G$8)/[2]Konstanten!$H$8)&lt;0,0,((SQRT($G148)-[2]Konstanten!$G$8)/[2]Konstanten!$H$8)),0)</f>
        <v>157</v>
      </c>
      <c r="K148" s="24">
        <f>SUM(H148:J148)</f>
        <v>507</v>
      </c>
    </row>
    <row r="149" spans="1:11" ht="15.75" x14ac:dyDescent="0.25">
      <c r="A149" s="19"/>
      <c r="B149" s="20"/>
      <c r="C149" s="20"/>
      <c r="D149" s="20"/>
      <c r="E149" s="21"/>
      <c r="F149" s="21"/>
      <c r="G149" s="22"/>
      <c r="H149" s="23"/>
      <c r="I149" s="23"/>
      <c r="J149" s="23"/>
      <c r="K149" s="24"/>
    </row>
    <row r="150" spans="1:1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8" x14ac:dyDescent="0.25">
      <c r="A151" s="5"/>
      <c r="B151" s="33" t="s">
        <v>11</v>
      </c>
      <c r="C151" s="34"/>
      <c r="D151" s="5"/>
      <c r="E151" s="8"/>
      <c r="F151" s="8"/>
      <c r="G151" s="9"/>
      <c r="H151" s="5"/>
      <c r="I151" s="5"/>
      <c r="J151" s="5"/>
      <c r="K151" s="5"/>
    </row>
    <row r="152" spans="1:11" ht="18" x14ac:dyDescent="0.25">
      <c r="A152" s="5"/>
      <c r="B152" s="33" t="s">
        <v>12</v>
      </c>
      <c r="C152" s="33" t="s">
        <v>45</v>
      </c>
      <c r="D152" s="35" t="s">
        <v>46</v>
      </c>
      <c r="E152" s="8"/>
      <c r="F152" s="8"/>
      <c r="G152" s="9"/>
      <c r="H152" s="11">
        <f>ROUND(IF(OR((((50/($E152+0.24))-[12]Konstanten!$G$5)/[12]Konstanten!$H$5)&lt;0,$E152=""),0,(((50/($E152+0.24))-[12]Konstanten!$G$5)/[12]Konstanten!$H$5)),0)</f>
        <v>0</v>
      </c>
      <c r="I152" s="11">
        <f>ROUND(IF(((SQRT($F152)-[12]Konstanten!$G$6)/[12]Konstanten!$H$6)&lt;0,0,((SQRT($F152)-[12]Konstanten!$G$6)/[12]Konstanten!$H$6)),0)</f>
        <v>0</v>
      </c>
      <c r="J152" s="11">
        <f>ROUND(IF(((SQRT($G152)-[12]Konstanten!$G$8)/[12]Konstanten!$H$8)&lt;0,0,((SQRT($G152)-[12]Konstanten!$G$8)/[12]Konstanten!$H$8)),0)</f>
        <v>0</v>
      </c>
      <c r="K152" s="12">
        <f>SUM(H152:J152)</f>
        <v>0</v>
      </c>
    </row>
    <row r="153" spans="1:11" ht="15.75" x14ac:dyDescent="0.25">
      <c r="A153" s="5"/>
      <c r="B153" s="5"/>
      <c r="C153" s="5"/>
      <c r="D153" s="27">
        <v>2010</v>
      </c>
      <c r="E153" s="8"/>
      <c r="F153" s="8"/>
      <c r="G153" s="9"/>
      <c r="H153" s="5"/>
      <c r="I153" s="5"/>
      <c r="J153" s="5"/>
      <c r="K153" s="5"/>
    </row>
    <row r="154" spans="1:11" ht="47.25" x14ac:dyDescent="0.25">
      <c r="A154" s="5" t="s">
        <v>13</v>
      </c>
      <c r="B154" s="5" t="s">
        <v>14</v>
      </c>
      <c r="C154" s="5" t="s">
        <v>15</v>
      </c>
      <c r="D154" s="5" t="s">
        <v>16</v>
      </c>
      <c r="E154" s="13" t="s">
        <v>17</v>
      </c>
      <c r="F154" s="14" t="s">
        <v>18</v>
      </c>
      <c r="G154" s="15" t="s">
        <v>19</v>
      </c>
      <c r="H154" s="16" t="s">
        <v>20</v>
      </c>
      <c r="I154" s="17" t="s">
        <v>21</v>
      </c>
      <c r="J154" s="17" t="s">
        <v>22</v>
      </c>
      <c r="K154" s="18" t="s">
        <v>23</v>
      </c>
    </row>
    <row r="155" spans="1:11" ht="15.75" x14ac:dyDescent="0.25">
      <c r="A155" s="19" t="s">
        <v>24</v>
      </c>
      <c r="B155" s="37" t="s">
        <v>84</v>
      </c>
      <c r="C155" s="37" t="s">
        <v>85</v>
      </c>
      <c r="D155" s="37" t="s">
        <v>69</v>
      </c>
      <c r="E155" s="21">
        <v>8.5</v>
      </c>
      <c r="F155" s="21">
        <v>3.41</v>
      </c>
      <c r="G155" s="22">
        <v>25</v>
      </c>
      <c r="H155" s="23">
        <f>ROUND(IF(OR((((50/($E155+0.24))-[2]Konstanten!$G$5)/[2]Konstanten!$H$5)&lt;0,$E155=""),0,(((50/($E155+0.24))-[2]Konstanten!$G$5)/[2]Konstanten!$H$5)),0)</f>
        <v>314</v>
      </c>
      <c r="I155" s="23">
        <f>ROUND(IF(((SQRT($F155)-[2]Konstanten!$G$6)/[2]Konstanten!$H$6)&lt;0,0,((SQRT($F155)-[2]Konstanten!$G$6)/[2]Konstanten!$H$6)),0)</f>
        <v>362</v>
      </c>
      <c r="J155" s="23">
        <f>ROUND(IF(((SQRT($G155)-[2]Konstanten!$G$8)/[2]Konstanten!$H$8)&lt;0,0,((SQRT($G155)-[2]Konstanten!$G$8)/[2]Konstanten!$H$8)),0)</f>
        <v>341</v>
      </c>
      <c r="K155" s="24">
        <f t="shared" ref="K155:K162" si="6">SUM(H155:J155)</f>
        <v>1017</v>
      </c>
    </row>
    <row r="156" spans="1:11" ht="15.75" x14ac:dyDescent="0.25">
      <c r="A156" s="19" t="s">
        <v>25</v>
      </c>
      <c r="B156" s="38" t="s">
        <v>187</v>
      </c>
      <c r="C156" s="38" t="s">
        <v>133</v>
      </c>
      <c r="D156" s="38" t="s">
        <v>188</v>
      </c>
      <c r="E156" s="21">
        <v>9.1</v>
      </c>
      <c r="F156" s="21">
        <v>3</v>
      </c>
      <c r="G156" s="22">
        <v>27</v>
      </c>
      <c r="H156" s="23">
        <f>ROUND(IF(OR((((50/($E156+0.24))-[2]Konstanten!$G$5)/[2]Konstanten!$H$5)&lt;0,$E156=""),0,(((50/($E156+0.24))-[2]Konstanten!$G$5)/[2]Konstanten!$H$5)),0)</f>
        <v>258</v>
      </c>
      <c r="I156" s="23">
        <f>ROUND(IF(((SQRT($F156)-[2]Konstanten!$G$6)/[2]Konstanten!$H$6)&lt;0,0,((SQRT($F156)-[2]Konstanten!$G$6)/[2]Konstanten!$H$6)),0)</f>
        <v>307</v>
      </c>
      <c r="J156" s="23">
        <f>ROUND(IF(((SQRT($G156)-[2]Konstanten!$G$8)/[2]Konstanten!$H$8)&lt;0,0,((SQRT($G156)-[2]Konstanten!$G$8)/[2]Konstanten!$H$8)),0)</f>
        <v>363</v>
      </c>
      <c r="K156" s="24">
        <f t="shared" si="6"/>
        <v>928</v>
      </c>
    </row>
    <row r="157" spans="1:11" ht="15.75" x14ac:dyDescent="0.25">
      <c r="A157" s="19" t="s">
        <v>124</v>
      </c>
      <c r="B157" s="20" t="s">
        <v>222</v>
      </c>
      <c r="C157" s="20" t="s">
        <v>223</v>
      </c>
      <c r="D157" s="20" t="s">
        <v>70</v>
      </c>
      <c r="E157" s="21">
        <v>8.6</v>
      </c>
      <c r="F157" s="21">
        <v>3.11</v>
      </c>
      <c r="G157" s="22">
        <v>19.5</v>
      </c>
      <c r="H157" s="23">
        <f>ROUND(IF(OR((((50/($E157+0.24))-[2]Konstanten!$G$5)/[2]Konstanten!$H$5)&lt;0,$E157=""),0,(((50/($E157+0.24))-[2]Konstanten!$G$5)/[2]Konstanten!$H$5)),0)</f>
        <v>304</v>
      </c>
      <c r="I157" s="23">
        <f>ROUND(IF(((SQRT($F157)-[2]Konstanten!$G$6)/[2]Konstanten!$H$6)&lt;0,0,((SQRT($F157)-[2]Konstanten!$G$6)/[2]Konstanten!$H$6)),0)</f>
        <v>322</v>
      </c>
      <c r="J157" s="23">
        <f>ROUND(IF(((SQRT($G157)-[2]Konstanten!$G$8)/[2]Konstanten!$H$8)&lt;0,0,((SQRT($G157)-[2]Konstanten!$G$8)/[2]Konstanten!$H$8)),0)</f>
        <v>274</v>
      </c>
      <c r="K157" s="24">
        <f t="shared" si="6"/>
        <v>900</v>
      </c>
    </row>
    <row r="158" spans="1:11" ht="15.75" x14ac:dyDescent="0.25">
      <c r="A158" s="19" t="s">
        <v>125</v>
      </c>
      <c r="B158" s="20" t="s">
        <v>278</v>
      </c>
      <c r="C158" s="20" t="s">
        <v>208</v>
      </c>
      <c r="D158" s="20" t="s">
        <v>191</v>
      </c>
      <c r="E158" s="21">
        <v>9.1999999999999993</v>
      </c>
      <c r="F158" s="21">
        <v>3.09</v>
      </c>
      <c r="G158" s="22">
        <v>12</v>
      </c>
      <c r="H158" s="23">
        <f>ROUND(IF(OR((((50/($E158+0.24))-[2]Konstanten!$G$5)/[2]Konstanten!$H$5)&lt;0,$E158=""),0,(((50/($E158+0.24))-[2]Konstanten!$G$5)/[2]Konstanten!$H$5)),0)</f>
        <v>250</v>
      </c>
      <c r="I158" s="23">
        <f>ROUND(IF(((SQRT($F158)-[2]Konstanten!$G$6)/[2]Konstanten!$H$6)&lt;0,0,((SQRT($F158)-[2]Konstanten!$G$6)/[2]Konstanten!$H$6)),0)</f>
        <v>319</v>
      </c>
      <c r="J158" s="23">
        <f>ROUND(IF(((SQRT($G158)-[2]Konstanten!$G$8)/[2]Konstanten!$H$8)&lt;0,0,((SQRT($G158)-[2]Konstanten!$G$8)/[2]Konstanten!$H$8)),0)</f>
        <v>165</v>
      </c>
      <c r="K158" s="24">
        <f t="shared" si="6"/>
        <v>734</v>
      </c>
    </row>
    <row r="159" spans="1:11" ht="15.75" x14ac:dyDescent="0.25">
      <c r="A159" s="19" t="s">
        <v>128</v>
      </c>
      <c r="B159" s="38" t="s">
        <v>82</v>
      </c>
      <c r="C159" s="38" t="s">
        <v>88</v>
      </c>
      <c r="D159" s="38" t="s">
        <v>70</v>
      </c>
      <c r="E159" s="21">
        <v>9.4</v>
      </c>
      <c r="F159" s="21">
        <v>2.72</v>
      </c>
      <c r="G159" s="22">
        <v>15</v>
      </c>
      <c r="H159" s="23">
        <f>ROUND(IF(OR((((50/($E159+0.24))-[2]Konstanten!$G$5)/[2]Konstanten!$H$5)&lt;0,$E159=""),0,(((50/($E159+0.24))-[2]Konstanten!$G$5)/[2]Konstanten!$H$5)),0)</f>
        <v>233</v>
      </c>
      <c r="I159" s="23">
        <f>ROUND(IF(((SQRT($F159)-[2]Konstanten!$G$6)/[2]Konstanten!$H$6)&lt;0,0,((SQRT($F159)-[2]Konstanten!$G$6)/[2]Konstanten!$H$6)),0)</f>
        <v>267</v>
      </c>
      <c r="J159" s="23">
        <f>ROUND(IF(((SQRT($G159)-[2]Konstanten!$G$8)/[2]Konstanten!$H$8)&lt;0,0,((SQRT($G159)-[2]Konstanten!$G$8)/[2]Konstanten!$H$8)),0)</f>
        <v>212</v>
      </c>
      <c r="K159" s="24">
        <f t="shared" si="6"/>
        <v>712</v>
      </c>
    </row>
    <row r="160" spans="1:11" ht="15.75" x14ac:dyDescent="0.25">
      <c r="A160" s="19" t="s">
        <v>129</v>
      </c>
      <c r="B160" s="25" t="s">
        <v>220</v>
      </c>
      <c r="C160" s="20" t="s">
        <v>224</v>
      </c>
      <c r="D160" s="20" t="s">
        <v>70</v>
      </c>
      <c r="E160" s="21">
        <v>10.1</v>
      </c>
      <c r="F160" s="21">
        <v>2.5499999999999998</v>
      </c>
      <c r="G160" s="22">
        <v>14</v>
      </c>
      <c r="H160" s="23">
        <f>ROUND(IF(OR((((50/($E160+0.24))-[2]Konstanten!$G$5)/[2]Konstanten!$H$5)&lt;0,$E160=""),0,(((50/($E160+0.24))-[2]Konstanten!$G$5)/[2]Konstanten!$H$5)),0)</f>
        <v>180</v>
      </c>
      <c r="I160" s="23">
        <f>ROUND(IF(((SQRT($F160)-[2]Konstanten!$G$6)/[2]Konstanten!$H$6)&lt;0,0,((SQRT($F160)-[2]Konstanten!$G$6)/[2]Konstanten!$H$6)),0)</f>
        <v>242</v>
      </c>
      <c r="J160" s="23">
        <f>ROUND(IF(((SQRT($G160)-[2]Konstanten!$G$8)/[2]Konstanten!$H$8)&lt;0,0,((SQRT($G160)-[2]Konstanten!$G$8)/[2]Konstanten!$H$8)),0)</f>
        <v>197</v>
      </c>
      <c r="K160" s="24">
        <f t="shared" si="6"/>
        <v>619</v>
      </c>
    </row>
    <row r="161" spans="1:11" ht="15.75" x14ac:dyDescent="0.25">
      <c r="A161" s="19" t="s">
        <v>130</v>
      </c>
      <c r="B161" s="25" t="s">
        <v>209</v>
      </c>
      <c r="C161" s="20" t="s">
        <v>210</v>
      </c>
      <c r="D161" s="20" t="s">
        <v>191</v>
      </c>
      <c r="E161" s="21">
        <v>9.9</v>
      </c>
      <c r="F161" s="21">
        <v>2.39</v>
      </c>
      <c r="G161" s="22">
        <v>14.5</v>
      </c>
      <c r="H161" s="23">
        <f>ROUND(IF(OR((((50/($E161+0.24))-[2]Konstanten!$G$5)/[2]Konstanten!$H$5)&lt;0,$E161=""),0,(((50/($E161+0.24))-[2]Konstanten!$G$5)/[2]Konstanten!$H$5)),0)</f>
        <v>194</v>
      </c>
      <c r="I161" s="23">
        <f>ROUND(IF(((SQRT($F161)-[2]Konstanten!$G$6)/[2]Konstanten!$H$6)&lt;0,0,((SQRT($F161)-[2]Konstanten!$G$6)/[2]Konstanten!$H$6)),0)</f>
        <v>218</v>
      </c>
      <c r="J161" s="23">
        <f>ROUND(IF(((SQRT($G161)-[2]Konstanten!$G$8)/[2]Konstanten!$H$8)&lt;0,0,((SQRT($G161)-[2]Konstanten!$G$8)/[2]Konstanten!$H$8)),0)</f>
        <v>204</v>
      </c>
      <c r="K161" s="24">
        <f t="shared" si="6"/>
        <v>616</v>
      </c>
    </row>
    <row r="162" spans="1:11" ht="15.75" x14ac:dyDescent="0.25">
      <c r="A162" s="19" t="s">
        <v>131</v>
      </c>
      <c r="B162" s="20" t="s">
        <v>151</v>
      </c>
      <c r="C162" s="20" t="s">
        <v>152</v>
      </c>
      <c r="D162" s="20" t="s">
        <v>147</v>
      </c>
      <c r="E162" s="21">
        <v>10</v>
      </c>
      <c r="F162" s="21">
        <v>2.09</v>
      </c>
      <c r="G162" s="22">
        <v>13</v>
      </c>
      <c r="H162" s="23">
        <f>ROUND(IF(OR((((50/($E162+0.24))-[2]Konstanten!$G$5)/[2]Konstanten!$H$5)&lt;0,$E162=""),0,(((50/($E162+0.24))-[2]Konstanten!$G$5)/[2]Konstanten!$H$5)),0)</f>
        <v>187</v>
      </c>
      <c r="I162" s="23">
        <f>ROUND(IF(((SQRT($F162)-[2]Konstanten!$G$6)/[2]Konstanten!$H$6)&lt;0,0,((SQRT($F162)-[2]Konstanten!$G$6)/[2]Konstanten!$H$6)),0)</f>
        <v>169</v>
      </c>
      <c r="J162" s="23">
        <f>ROUND(IF(((SQRT($G162)-[2]Konstanten!$G$8)/[2]Konstanten!$H$8)&lt;0,0,((SQRT($G162)-[2]Konstanten!$G$8)/[2]Konstanten!$H$8)),0)</f>
        <v>181</v>
      </c>
      <c r="K162" s="24">
        <f t="shared" si="6"/>
        <v>537</v>
      </c>
    </row>
    <row r="163" spans="1:11" ht="15.75" x14ac:dyDescent="0.25">
      <c r="A163" s="19"/>
      <c r="B163" s="20"/>
      <c r="C163" s="20"/>
      <c r="D163" s="20"/>
      <c r="E163" s="21"/>
      <c r="F163" s="21"/>
      <c r="G163" s="22"/>
      <c r="H163" s="23"/>
      <c r="I163" s="23"/>
      <c r="J163" s="23"/>
      <c r="K163" s="24"/>
    </row>
    <row r="164" spans="1:1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8" x14ac:dyDescent="0.25">
      <c r="A165" s="5"/>
      <c r="B165" s="33" t="s">
        <v>11</v>
      </c>
      <c r="C165" s="34"/>
      <c r="D165" s="5"/>
      <c r="E165" s="8"/>
      <c r="F165" s="8"/>
      <c r="G165" s="9"/>
      <c r="H165" s="5"/>
      <c r="I165" s="5"/>
      <c r="J165" s="5"/>
      <c r="K165" s="5"/>
    </row>
    <row r="166" spans="1:11" ht="18" x14ac:dyDescent="0.25">
      <c r="A166" s="5"/>
      <c r="B166" s="33" t="s">
        <v>12</v>
      </c>
      <c r="C166" s="33" t="s">
        <v>47</v>
      </c>
      <c r="D166" s="35" t="s">
        <v>48</v>
      </c>
      <c r="E166" s="8"/>
      <c r="F166" s="8"/>
      <c r="G166" s="9"/>
      <c r="H166" s="11">
        <f>ROUND(IF(OR((((50/($E166+0.24))-[13]Konstanten!$G$5)/[13]Konstanten!$H$5)&lt;0,$E166=""),0,(((50/($E166+0.24))-[13]Konstanten!$G$5)/[13]Konstanten!$H$5)),0)</f>
        <v>0</v>
      </c>
      <c r="I166" s="11">
        <f>ROUND(IF(((SQRT($F166)-[13]Konstanten!$G$6)/[13]Konstanten!$H$6)&lt;0,0,((SQRT($F166)-[13]Konstanten!$G$6)/[13]Konstanten!$H$6)),0)</f>
        <v>0</v>
      </c>
      <c r="J166" s="11">
        <f>ROUND(IF(((SQRT($G166)-[13]Konstanten!$G$8)/[13]Konstanten!$H$8)&lt;0,0,((SQRT($G166)-[13]Konstanten!$G$8)/[13]Konstanten!$H$8)),0)</f>
        <v>0</v>
      </c>
      <c r="K166" s="12">
        <f>SUM(H166:J166)</f>
        <v>0</v>
      </c>
    </row>
    <row r="167" spans="1:11" ht="15.75" x14ac:dyDescent="0.25">
      <c r="A167" s="5"/>
      <c r="B167" s="5"/>
      <c r="C167" s="5"/>
      <c r="D167" s="27">
        <v>2009</v>
      </c>
      <c r="E167" s="8"/>
      <c r="F167" s="8"/>
      <c r="G167" s="9"/>
      <c r="H167" s="5"/>
      <c r="I167" s="5"/>
      <c r="J167" s="5"/>
      <c r="K167" s="5"/>
    </row>
    <row r="168" spans="1:11" ht="12.75" customHeight="1" x14ac:dyDescent="0.25">
      <c r="A168" s="5" t="s">
        <v>13</v>
      </c>
      <c r="B168" s="5" t="s">
        <v>14</v>
      </c>
      <c r="C168" s="5" t="s">
        <v>15</v>
      </c>
      <c r="D168" s="5" t="s">
        <v>16</v>
      </c>
      <c r="E168" s="13" t="s">
        <v>17</v>
      </c>
      <c r="F168" s="14" t="s">
        <v>18</v>
      </c>
      <c r="G168" s="15" t="s">
        <v>19</v>
      </c>
      <c r="H168" s="16" t="s">
        <v>20</v>
      </c>
      <c r="I168" s="17" t="s">
        <v>21</v>
      </c>
      <c r="J168" s="17" t="s">
        <v>22</v>
      </c>
      <c r="K168" s="18" t="s">
        <v>23</v>
      </c>
    </row>
    <row r="169" spans="1:11" ht="15.75" x14ac:dyDescent="0.25">
      <c r="A169" s="19" t="s">
        <v>24</v>
      </c>
      <c r="B169" s="25" t="s">
        <v>103</v>
      </c>
      <c r="C169" s="20" t="s">
        <v>87</v>
      </c>
      <c r="D169" s="20" t="s">
        <v>81</v>
      </c>
      <c r="E169" s="21">
        <v>7.8</v>
      </c>
      <c r="F169" s="21">
        <v>3.76</v>
      </c>
      <c r="G169" s="22">
        <v>25</v>
      </c>
      <c r="H169" s="23">
        <f>ROUND(IF(OR((((50/($E169+0.24))-[2]Konstanten!$G$5)/[2]Konstanten!$H$5)&lt;0,$E169=""),0,(((50/($E169+0.24))-[2]Konstanten!$G$5)/[2]Konstanten!$H$5)),0)</f>
        <v>390</v>
      </c>
      <c r="I169" s="23">
        <f>ROUND(IF(((SQRT($F169)-[2]Konstanten!$G$6)/[2]Konstanten!$H$6)&lt;0,0,((SQRT($F169)-[2]Konstanten!$G$6)/[2]Konstanten!$H$6)),0)</f>
        <v>407</v>
      </c>
      <c r="J169" s="23">
        <f>ROUND(IF(((SQRT($G169)-[2]Konstanten!$G$8)/[2]Konstanten!$H$8)&lt;0,0,((SQRT($G169)-[2]Konstanten!$G$8)/[2]Konstanten!$H$8)),0)</f>
        <v>341</v>
      </c>
      <c r="K169" s="24">
        <f>SUM(H169:J169)</f>
        <v>1138</v>
      </c>
    </row>
    <row r="170" spans="1:11" ht="15.75" x14ac:dyDescent="0.25">
      <c r="A170" s="19" t="s">
        <v>25</v>
      </c>
      <c r="B170" s="20" t="s">
        <v>218</v>
      </c>
      <c r="C170" s="20" t="s">
        <v>225</v>
      </c>
      <c r="D170" s="20" t="s">
        <v>70</v>
      </c>
      <c r="E170" s="21">
        <v>8.1</v>
      </c>
      <c r="F170" s="21">
        <v>3.74</v>
      </c>
      <c r="G170" s="22">
        <v>26</v>
      </c>
      <c r="H170" s="23">
        <f>ROUND(IF(OR((((50/($E170+0.24))-[2]Konstanten!$G$5)/[2]Konstanten!$H$5)&lt;0,$E170=""),0,(((50/($E170+0.24))-[2]Konstanten!$G$5)/[2]Konstanten!$H$5)),0)</f>
        <v>356</v>
      </c>
      <c r="I170" s="23">
        <f>ROUND(IF(((SQRT($F170)-[2]Konstanten!$G$6)/[2]Konstanten!$H$6)&lt;0,0,((SQRT($F170)-[2]Konstanten!$G$6)/[2]Konstanten!$H$6)),0)</f>
        <v>404</v>
      </c>
      <c r="J170" s="23">
        <f>ROUND(IF(((SQRT($G170)-[2]Konstanten!$G$8)/[2]Konstanten!$H$8)&lt;0,0,((SQRT($G170)-[2]Konstanten!$G$8)/[2]Konstanten!$H$8)),0)</f>
        <v>352</v>
      </c>
      <c r="K170" s="24">
        <f>SUM(H170:J170)</f>
        <v>1112</v>
      </c>
    </row>
    <row r="171" spans="1:11" ht="15.75" x14ac:dyDescent="0.25">
      <c r="A171" s="19" t="s">
        <v>124</v>
      </c>
      <c r="B171" s="25" t="s">
        <v>226</v>
      </c>
      <c r="C171" s="25" t="s">
        <v>227</v>
      </c>
      <c r="D171" s="25" t="s">
        <v>70</v>
      </c>
      <c r="E171" s="21">
        <v>10.6</v>
      </c>
      <c r="F171" s="21">
        <v>2.78</v>
      </c>
      <c r="G171" s="22">
        <v>20</v>
      </c>
      <c r="H171" s="23">
        <f>ROUND(IF(OR((((50/($E171+0.24))-[2]Konstanten!$G$5)/[2]Konstanten!$H$5)&lt;0,$E171=""),0,(((50/($E171+0.24))-[2]Konstanten!$G$5)/[2]Konstanten!$H$5)),0)</f>
        <v>146</v>
      </c>
      <c r="I171" s="23">
        <f>ROUND(IF(((SQRT($F171)-[2]Konstanten!$G$6)/[2]Konstanten!$H$6)&lt;0,0,((SQRT($F171)-[2]Konstanten!$G$6)/[2]Konstanten!$H$6)),0)</f>
        <v>276</v>
      </c>
      <c r="J171" s="23">
        <f>ROUND(IF(((SQRT($G171)-[2]Konstanten!$G$8)/[2]Konstanten!$H$8)&lt;0,0,((SQRT($G171)-[2]Konstanten!$G$8)/[2]Konstanten!$H$8)),0)</f>
        <v>280</v>
      </c>
      <c r="K171" s="24">
        <f>SUM(H171:J171)</f>
        <v>702</v>
      </c>
    </row>
    <row r="172" spans="1:11" ht="15.75" x14ac:dyDescent="0.25">
      <c r="A172" s="19" t="s">
        <v>125</v>
      </c>
      <c r="B172" s="25" t="s">
        <v>165</v>
      </c>
      <c r="C172" s="20" t="s">
        <v>166</v>
      </c>
      <c r="D172" s="20" t="s">
        <v>81</v>
      </c>
      <c r="E172" s="21">
        <v>10.1</v>
      </c>
      <c r="F172" s="21">
        <v>2.4300000000000002</v>
      </c>
      <c r="G172" s="22">
        <v>14</v>
      </c>
      <c r="H172" s="23">
        <f>ROUND(IF(OR((((50/($E172+0.24))-[2]Konstanten!$G$5)/[2]Konstanten!$H$5)&lt;0,$E172=""),0,(((50/($E172+0.24))-[2]Konstanten!$G$5)/[2]Konstanten!$H$5)),0)</f>
        <v>180</v>
      </c>
      <c r="I172" s="23">
        <f>ROUND(IF(((SQRT($F172)-[2]Konstanten!$G$6)/[2]Konstanten!$H$6)&lt;0,0,((SQRT($F172)-[2]Konstanten!$G$6)/[2]Konstanten!$H$6)),0)</f>
        <v>224</v>
      </c>
      <c r="J172" s="23">
        <f>ROUND(IF(((SQRT($G172)-[2]Konstanten!$G$8)/[2]Konstanten!$H$8)&lt;0,0,((SQRT($G172)-[2]Konstanten!$G$8)/[2]Konstanten!$H$8)),0)</f>
        <v>197</v>
      </c>
      <c r="K172" s="24">
        <f>SUM(H172:J172)</f>
        <v>601</v>
      </c>
    </row>
    <row r="173" spans="1:11" x14ac:dyDescent="0.2">
      <c r="A173" s="25"/>
      <c r="B173" s="20"/>
      <c r="C173" s="20"/>
      <c r="D173" s="20"/>
      <c r="E173" s="21"/>
      <c r="F173" s="21"/>
      <c r="G173" s="22"/>
      <c r="H173" s="23"/>
      <c r="I173" s="23"/>
      <c r="J173" s="23"/>
      <c r="K173" s="24"/>
    </row>
    <row r="174" spans="1:1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8" x14ac:dyDescent="0.25">
      <c r="A175" s="5"/>
      <c r="B175" s="33" t="s">
        <v>11</v>
      </c>
      <c r="C175" s="34"/>
      <c r="D175" s="5"/>
      <c r="E175" s="8"/>
      <c r="F175" s="8"/>
      <c r="G175" s="9"/>
      <c r="H175" s="5"/>
      <c r="I175" s="5"/>
      <c r="J175" s="5"/>
      <c r="K175" s="5"/>
    </row>
    <row r="176" spans="1:11" ht="18" x14ac:dyDescent="0.25">
      <c r="A176" s="5"/>
      <c r="B176" s="33" t="s">
        <v>12</v>
      </c>
      <c r="C176" s="33" t="s">
        <v>49</v>
      </c>
      <c r="D176" s="35" t="s">
        <v>50</v>
      </c>
      <c r="E176" s="8"/>
      <c r="F176" s="8"/>
      <c r="G176" s="9"/>
      <c r="H176" s="11">
        <f>ROUND(IF(OR((((50/($E176+0.24))-[14]Konstanten!$G$5)/[14]Konstanten!$H$5)&lt;0,$E176=""),0,(((50/($E176+0.24))-[14]Konstanten!$G$5)/[14]Konstanten!$H$5)),0)</f>
        <v>0</v>
      </c>
      <c r="I176" s="11">
        <f>ROUND(IF(((SQRT($F176)-[14]Konstanten!$G$6)/[14]Konstanten!$H$6)&lt;0,0,((SQRT($F176)-[14]Konstanten!$G$6)/[14]Konstanten!$H$6)),0)</f>
        <v>0</v>
      </c>
      <c r="J176" s="11">
        <f>ROUND(IF(((SQRT($G176)-[14]Konstanten!$G$8)/[14]Konstanten!$H$8)&lt;0,0,((SQRT($G176)-[14]Konstanten!$G$8)/[14]Konstanten!$H$8)),0)</f>
        <v>0</v>
      </c>
      <c r="K176" s="12">
        <f>SUM(H176:J176)</f>
        <v>0</v>
      </c>
    </row>
    <row r="177" spans="1:11" ht="15.75" x14ac:dyDescent="0.25">
      <c r="A177" s="5"/>
      <c r="B177" s="5"/>
      <c r="C177" s="5"/>
      <c r="D177" s="27">
        <v>2008</v>
      </c>
      <c r="E177" s="8"/>
      <c r="F177" s="8"/>
      <c r="G177" s="9"/>
      <c r="H177" s="5"/>
      <c r="I177" s="5"/>
      <c r="J177" s="5"/>
      <c r="K177" s="5"/>
    </row>
    <row r="178" spans="1:11" ht="47.25" x14ac:dyDescent="0.25">
      <c r="A178" s="5" t="s">
        <v>13</v>
      </c>
      <c r="B178" s="5" t="s">
        <v>14</v>
      </c>
      <c r="C178" s="5" t="s">
        <v>15</v>
      </c>
      <c r="D178" s="5" t="s">
        <v>16</v>
      </c>
      <c r="E178" s="13" t="s">
        <v>17</v>
      </c>
      <c r="F178" s="14" t="s">
        <v>18</v>
      </c>
      <c r="G178" s="15" t="s">
        <v>19</v>
      </c>
      <c r="H178" s="16" t="s">
        <v>20</v>
      </c>
      <c r="I178" s="17" t="s">
        <v>21</v>
      </c>
      <c r="J178" s="17" t="s">
        <v>22</v>
      </c>
      <c r="K178" s="18" t="s">
        <v>23</v>
      </c>
    </row>
    <row r="179" spans="1:11" ht="15.75" x14ac:dyDescent="0.25">
      <c r="A179" s="19" t="s">
        <v>24</v>
      </c>
      <c r="B179" s="25" t="s">
        <v>157</v>
      </c>
      <c r="C179" s="20" t="s">
        <v>229</v>
      </c>
      <c r="D179" s="20" t="s">
        <v>158</v>
      </c>
      <c r="E179" s="21">
        <v>7.8</v>
      </c>
      <c r="F179" s="21">
        <v>4.24</v>
      </c>
      <c r="G179" s="22">
        <v>30</v>
      </c>
      <c r="H179" s="23">
        <f>ROUND(IF(OR((((50/($E179+0.24))-[2]Konstanten!$G$5)/[2]Konstanten!$H$5)&lt;0,$E179=""),0,(((50/($E179+0.24))-[2]Konstanten!$G$5)/[2]Konstanten!$H$5)),0)</f>
        <v>390</v>
      </c>
      <c r="I179" s="23">
        <f>ROUND(IF(((SQRT($F179)-[2]Konstanten!$G$6)/[2]Konstanten!$H$6)&lt;0,0,((SQRT($F179)-[2]Konstanten!$G$6)/[2]Konstanten!$H$6)),0)</f>
        <v>464</v>
      </c>
      <c r="J179" s="23">
        <f>ROUND(IF(((SQRT($G179)-[2]Konstanten!$G$8)/[2]Konstanten!$H$8)&lt;0,0,((SQRT($G179)-[2]Konstanten!$G$8)/[2]Konstanten!$H$8)),0)</f>
        <v>395</v>
      </c>
      <c r="K179" s="24">
        <f t="shared" ref="K179:K186" si="7">SUM(H179:J179)</f>
        <v>1249</v>
      </c>
    </row>
    <row r="180" spans="1:11" ht="15.75" x14ac:dyDescent="0.25">
      <c r="A180" s="19" t="s">
        <v>25</v>
      </c>
      <c r="B180" s="20" t="s">
        <v>89</v>
      </c>
      <c r="C180" s="20" t="s">
        <v>90</v>
      </c>
      <c r="D180" s="20" t="s">
        <v>81</v>
      </c>
      <c r="E180" s="21">
        <v>8.3000000000000007</v>
      </c>
      <c r="F180" s="21">
        <v>3.76</v>
      </c>
      <c r="G180" s="22">
        <v>39</v>
      </c>
      <c r="H180" s="23">
        <f>ROUND(IF(OR((((50/($E180+0.24))-[2]Konstanten!$G$5)/[2]Konstanten!$H$5)&lt;0,$E180=""),0,(((50/($E180+0.24))-[2]Konstanten!$G$5)/[2]Konstanten!$H$5)),0)</f>
        <v>334</v>
      </c>
      <c r="I180" s="23">
        <f>ROUND(IF(((SQRT($F180)-[2]Konstanten!$G$6)/[2]Konstanten!$H$6)&lt;0,0,((SQRT($F180)-[2]Konstanten!$G$6)/[2]Konstanten!$H$6)),0)</f>
        <v>407</v>
      </c>
      <c r="J180" s="23">
        <f>ROUND(IF(((SQRT($G180)-[2]Konstanten!$G$8)/[2]Konstanten!$H$8)&lt;0,0,((SQRT($G180)-[2]Konstanten!$G$8)/[2]Konstanten!$H$8)),0)</f>
        <v>483</v>
      </c>
      <c r="K180" s="24">
        <f t="shared" si="7"/>
        <v>1224</v>
      </c>
    </row>
    <row r="181" spans="1:11" ht="15.75" x14ac:dyDescent="0.25">
      <c r="A181" s="19" t="s">
        <v>124</v>
      </c>
      <c r="B181" s="25" t="s">
        <v>117</v>
      </c>
      <c r="C181" s="20" t="s">
        <v>104</v>
      </c>
      <c r="D181" s="20" t="s">
        <v>81</v>
      </c>
      <c r="E181" s="21">
        <v>8</v>
      </c>
      <c r="F181" s="21">
        <v>3.87</v>
      </c>
      <c r="G181" s="22">
        <v>31.5</v>
      </c>
      <c r="H181" s="23">
        <f>ROUND(IF(OR((((50/($E181+0.24))-[2]Konstanten!$G$5)/[2]Konstanten!$H$5)&lt;0,$E181=""),0,(((50/($E181+0.24))-[2]Konstanten!$G$5)/[2]Konstanten!$H$5)),0)</f>
        <v>367</v>
      </c>
      <c r="I181" s="23">
        <f>ROUND(IF(((SQRT($F181)-[2]Konstanten!$G$6)/[2]Konstanten!$H$6)&lt;0,0,((SQRT($F181)-[2]Konstanten!$G$6)/[2]Konstanten!$H$6)),0)</f>
        <v>420</v>
      </c>
      <c r="J181" s="23">
        <f>ROUND(IF(((SQRT($G181)-[2]Konstanten!$G$8)/[2]Konstanten!$H$8)&lt;0,0,((SQRT($G181)-[2]Konstanten!$G$8)/[2]Konstanten!$H$8)),0)</f>
        <v>411</v>
      </c>
      <c r="K181" s="24">
        <f t="shared" si="7"/>
        <v>1198</v>
      </c>
    </row>
    <row r="182" spans="1:11" ht="15.75" x14ac:dyDescent="0.25">
      <c r="A182" s="19" t="s">
        <v>125</v>
      </c>
      <c r="B182" s="37" t="s">
        <v>228</v>
      </c>
      <c r="C182" s="37" t="s">
        <v>229</v>
      </c>
      <c r="D182" s="37" t="s">
        <v>70</v>
      </c>
      <c r="E182" s="21">
        <v>8.3000000000000007</v>
      </c>
      <c r="F182" s="21">
        <v>3.65</v>
      </c>
      <c r="G182" s="22">
        <v>31.5</v>
      </c>
      <c r="H182" s="23">
        <f>ROUND(IF(OR((((50/($E182+0.24))-[2]Konstanten!$G$5)/[2]Konstanten!$H$5)&lt;0,$E182=""),0,(((50/($E182+0.24))-[2]Konstanten!$G$5)/[2]Konstanten!$H$5)),0)</f>
        <v>334</v>
      </c>
      <c r="I182" s="23">
        <f>ROUND(IF(((SQRT($F182)-[2]Konstanten!$G$6)/[2]Konstanten!$H$6)&lt;0,0,((SQRT($F182)-[2]Konstanten!$G$6)/[2]Konstanten!$H$6)),0)</f>
        <v>393</v>
      </c>
      <c r="J182" s="23">
        <f>ROUND(IF(((SQRT($G182)-[2]Konstanten!$G$8)/[2]Konstanten!$H$8)&lt;0,0,((SQRT($G182)-[2]Konstanten!$G$8)/[2]Konstanten!$H$8)),0)</f>
        <v>411</v>
      </c>
      <c r="K182" s="24">
        <f t="shared" si="7"/>
        <v>1138</v>
      </c>
    </row>
    <row r="183" spans="1:11" ht="15.75" x14ac:dyDescent="0.25">
      <c r="A183" s="19" t="s">
        <v>128</v>
      </c>
      <c r="B183" s="38" t="s">
        <v>127</v>
      </c>
      <c r="C183" s="37" t="s">
        <v>91</v>
      </c>
      <c r="D183" s="37" t="s">
        <v>69</v>
      </c>
      <c r="E183" s="21">
        <v>8.6</v>
      </c>
      <c r="F183" s="21">
        <v>3.34</v>
      </c>
      <c r="G183" s="22">
        <v>34.5</v>
      </c>
      <c r="H183" s="23">
        <f>ROUND(IF(OR((((50/($E183+0.24))-[2]Konstanten!$G$5)/[2]Konstanten!$H$5)&lt;0,$E183=""),0,(((50/($E183+0.24))-[2]Konstanten!$G$5)/[2]Konstanten!$H$5)),0)</f>
        <v>304</v>
      </c>
      <c r="I183" s="23">
        <f>ROUND(IF(((SQRT($F183)-[2]Konstanten!$G$6)/[2]Konstanten!$H$6)&lt;0,0,((SQRT($F183)-[2]Konstanten!$G$6)/[2]Konstanten!$H$6)),0)</f>
        <v>353</v>
      </c>
      <c r="J183" s="23">
        <f>ROUND(IF(((SQRT($G183)-[2]Konstanten!$G$8)/[2]Konstanten!$H$8)&lt;0,0,((SQRT($G183)-[2]Konstanten!$G$8)/[2]Konstanten!$H$8)),0)</f>
        <v>441</v>
      </c>
      <c r="K183" s="24">
        <f t="shared" si="7"/>
        <v>1098</v>
      </c>
    </row>
    <row r="184" spans="1:11" ht="15.75" x14ac:dyDescent="0.25">
      <c r="A184" s="19" t="s">
        <v>129</v>
      </c>
      <c r="B184" s="25" t="s">
        <v>281</v>
      </c>
      <c r="C184" s="20" t="s">
        <v>154</v>
      </c>
      <c r="D184" s="20" t="s">
        <v>147</v>
      </c>
      <c r="E184" s="21">
        <v>9</v>
      </c>
      <c r="F184" s="21">
        <v>3</v>
      </c>
      <c r="G184" s="22">
        <v>20.5</v>
      </c>
      <c r="H184" s="23">
        <f>ROUND(IF(OR((((50/($E184+0.24))-[2]Konstanten!$G$5)/[2]Konstanten!$H$5)&lt;0,$E184=""),0,(((50/($E184+0.24))-[2]Konstanten!$G$5)/[2]Konstanten!$H$5)),0)</f>
        <v>267</v>
      </c>
      <c r="I184" s="23">
        <f>ROUND(IF(((SQRT($F184)-[2]Konstanten!$G$6)/[2]Konstanten!$H$6)&lt;0,0,((SQRT($F184)-[2]Konstanten!$G$6)/[2]Konstanten!$H$6)),0)</f>
        <v>307</v>
      </c>
      <c r="J184" s="23">
        <f>ROUND(IF(((SQRT($G184)-[2]Konstanten!$G$8)/[2]Konstanten!$H$8)&lt;0,0,((SQRT($G184)-[2]Konstanten!$G$8)/[2]Konstanten!$H$8)),0)</f>
        <v>287</v>
      </c>
      <c r="K184" s="24">
        <f t="shared" si="7"/>
        <v>861</v>
      </c>
    </row>
    <row r="185" spans="1:11" ht="15.75" x14ac:dyDescent="0.25">
      <c r="A185" s="19" t="s">
        <v>130</v>
      </c>
      <c r="B185" s="25" t="s">
        <v>184</v>
      </c>
      <c r="C185" s="20" t="s">
        <v>118</v>
      </c>
      <c r="D185" s="20" t="s">
        <v>176</v>
      </c>
      <c r="E185" s="21">
        <v>9.4</v>
      </c>
      <c r="F185" s="21">
        <v>2.92</v>
      </c>
      <c r="G185" s="22">
        <v>21</v>
      </c>
      <c r="H185" s="23">
        <f>ROUND(IF(OR((((50/($E185+0.24))-[2]Konstanten!$G$5)/[2]Konstanten!$H$5)&lt;0,$E185=""),0,(((50/($E185+0.24))-[2]Konstanten!$G$5)/[2]Konstanten!$H$5)),0)</f>
        <v>233</v>
      </c>
      <c r="I185" s="23">
        <f>ROUND(IF(((SQRT($F185)-[2]Konstanten!$G$6)/[2]Konstanten!$H$6)&lt;0,0,((SQRT($F185)-[2]Konstanten!$G$6)/[2]Konstanten!$H$6)),0)</f>
        <v>296</v>
      </c>
      <c r="J185" s="23">
        <f>ROUND(IF(((SQRT($G185)-[2]Konstanten!$G$8)/[2]Konstanten!$H$8)&lt;0,0,((SQRT($G185)-[2]Konstanten!$G$8)/[2]Konstanten!$H$8)),0)</f>
        <v>293</v>
      </c>
      <c r="K185" s="24">
        <f t="shared" si="7"/>
        <v>822</v>
      </c>
    </row>
    <row r="186" spans="1:11" ht="15.75" x14ac:dyDescent="0.25">
      <c r="A186" s="19" t="s">
        <v>131</v>
      </c>
      <c r="B186" s="37" t="s">
        <v>280</v>
      </c>
      <c r="C186" s="37" t="s">
        <v>211</v>
      </c>
      <c r="D186" s="37" t="s">
        <v>212</v>
      </c>
      <c r="E186" s="21">
        <v>9.3000000000000007</v>
      </c>
      <c r="F186" s="21">
        <v>2.71</v>
      </c>
      <c r="G186" s="22">
        <v>21</v>
      </c>
      <c r="H186" s="23">
        <f>ROUND(IF(OR((((50/($E186+0.24))-[2]Konstanten!$G$5)/[2]Konstanten!$H$5)&lt;0,$E186=""),0,(((50/($E186+0.24))-[2]Konstanten!$G$5)/[2]Konstanten!$H$5)),0)</f>
        <v>241</v>
      </c>
      <c r="I186" s="23">
        <f>ROUND(IF(((SQRT($F186)-[2]Konstanten!$G$6)/[2]Konstanten!$H$6)&lt;0,0,((SQRT($F186)-[2]Konstanten!$G$6)/[2]Konstanten!$H$6)),0)</f>
        <v>266</v>
      </c>
      <c r="J186" s="23">
        <f>ROUND(IF(((SQRT($G186)-[2]Konstanten!$G$8)/[2]Konstanten!$H$8)&lt;0,0,((SQRT($G186)-[2]Konstanten!$G$8)/[2]Konstanten!$H$8)),0)</f>
        <v>293</v>
      </c>
      <c r="K186" s="24">
        <f t="shared" si="7"/>
        <v>800</v>
      </c>
    </row>
    <row r="187" spans="1:11" ht="15.75" x14ac:dyDescent="0.25">
      <c r="A187" s="19"/>
      <c r="B187" s="32"/>
      <c r="C187" s="32"/>
      <c r="D187" s="32"/>
      <c r="E187" s="21"/>
      <c r="F187" s="21"/>
      <c r="G187" s="22"/>
      <c r="H187" s="23"/>
      <c r="I187" s="23"/>
      <c r="J187" s="23"/>
      <c r="K187" s="24"/>
    </row>
    <row r="188" spans="1:1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8" x14ac:dyDescent="0.25">
      <c r="A189" s="5"/>
      <c r="B189" s="33" t="s">
        <v>11</v>
      </c>
      <c r="C189" s="34"/>
      <c r="D189" s="5"/>
      <c r="E189" s="8"/>
      <c r="F189" s="8"/>
      <c r="G189" s="9"/>
      <c r="H189" s="5"/>
      <c r="I189" s="5"/>
      <c r="J189" s="5"/>
      <c r="K189" s="5"/>
    </row>
    <row r="190" spans="1:11" ht="18" x14ac:dyDescent="0.25">
      <c r="A190" s="5"/>
      <c r="B190" s="33" t="s">
        <v>12</v>
      </c>
      <c r="C190" s="33" t="s">
        <v>51</v>
      </c>
      <c r="D190" s="35" t="s">
        <v>52</v>
      </c>
      <c r="E190" s="8"/>
      <c r="F190" s="8"/>
      <c r="G190" s="9"/>
      <c r="H190" s="11">
        <f>ROUND(IF(OR((((50/($E190+0.24))-[15]Konstanten!$G$5)/[15]Konstanten!$H$5)&lt;0,$E190=""),0,(((50/($E190+0.24))-[15]Konstanten!$G$5)/[15]Konstanten!$H$5)),0)</f>
        <v>0</v>
      </c>
      <c r="I190" s="11">
        <f>ROUND(IF(((SQRT($F190)-[15]Konstanten!$G$6)/[15]Konstanten!$H$6)&lt;0,0,((SQRT($F190)-[15]Konstanten!$G$6)/[15]Konstanten!$H$6)),0)</f>
        <v>0</v>
      </c>
      <c r="J190" s="11">
        <f>ROUND(IF(((SQRT($G190)-[15]Konstanten!$G$8)/[15]Konstanten!$H$8)&lt;0,0,((SQRT($G190)-[15]Konstanten!$G$8)/[15]Konstanten!$H$8)),0)</f>
        <v>0</v>
      </c>
      <c r="K190" s="12">
        <f>SUM(H190:J190)</f>
        <v>0</v>
      </c>
    </row>
    <row r="191" spans="1:11" ht="15.75" x14ac:dyDescent="0.25">
      <c r="A191" s="5"/>
      <c r="B191" s="5"/>
      <c r="C191" s="5"/>
      <c r="D191" s="27">
        <v>2007</v>
      </c>
      <c r="E191" s="8"/>
      <c r="F191" s="8"/>
      <c r="G191" s="9"/>
      <c r="H191" s="5"/>
      <c r="I191" s="5"/>
      <c r="J191" s="5"/>
      <c r="K191" s="5"/>
    </row>
    <row r="192" spans="1:11" ht="47.25" x14ac:dyDescent="0.25">
      <c r="A192" s="5" t="s">
        <v>13</v>
      </c>
      <c r="B192" s="5" t="s">
        <v>57</v>
      </c>
      <c r="C192" s="5" t="s">
        <v>15</v>
      </c>
      <c r="D192" s="5" t="s">
        <v>16</v>
      </c>
      <c r="E192" s="13" t="s">
        <v>17</v>
      </c>
      <c r="F192" s="14" t="s">
        <v>18</v>
      </c>
      <c r="G192" s="15" t="s">
        <v>19</v>
      </c>
      <c r="H192" s="16" t="s">
        <v>20</v>
      </c>
      <c r="I192" s="17" t="s">
        <v>21</v>
      </c>
      <c r="J192" s="17" t="s">
        <v>22</v>
      </c>
      <c r="K192" s="18" t="s">
        <v>23</v>
      </c>
    </row>
    <row r="193" spans="1:11" ht="15.75" x14ac:dyDescent="0.25">
      <c r="A193" s="19" t="s">
        <v>24</v>
      </c>
      <c r="B193" s="25" t="s">
        <v>86</v>
      </c>
      <c r="C193" s="20" t="s">
        <v>92</v>
      </c>
      <c r="D193" s="20" t="s">
        <v>81</v>
      </c>
      <c r="E193" s="21">
        <v>8.3000000000000007</v>
      </c>
      <c r="F193" s="21">
        <v>3.62</v>
      </c>
      <c r="G193" s="22">
        <v>28</v>
      </c>
      <c r="H193" s="23">
        <f>ROUND(IF(OR((((50/($E193+0.24))-[2]Konstanten!$G$5)/[2]Konstanten!$H$5)&lt;0,$E193=""),0,(((50/($E193+0.24))-[2]Konstanten!$G$5)/[2]Konstanten!$H$5)),0)</f>
        <v>334</v>
      </c>
      <c r="I193" s="23">
        <f>ROUND(IF(((SQRT($F193)-[2]Konstanten!$G$6)/[2]Konstanten!$H$6)&lt;0,0,((SQRT($F193)-[2]Konstanten!$G$6)/[2]Konstanten!$H$6)),0)</f>
        <v>389</v>
      </c>
      <c r="J193" s="23">
        <f>ROUND(IF(((SQRT($G193)-[2]Konstanten!$G$8)/[2]Konstanten!$H$8)&lt;0,0,((SQRT($G193)-[2]Konstanten!$G$8)/[2]Konstanten!$H$8)),0)</f>
        <v>374</v>
      </c>
      <c r="K193" s="24">
        <f t="shared" ref="K193:K198" si="8">SUM(H193:J193)</f>
        <v>1097</v>
      </c>
    </row>
    <row r="194" spans="1:11" ht="15.75" x14ac:dyDescent="0.25">
      <c r="A194" s="19" t="s">
        <v>25</v>
      </c>
      <c r="B194" s="20" t="s">
        <v>232</v>
      </c>
      <c r="C194" s="20" t="s">
        <v>233</v>
      </c>
      <c r="D194" s="20" t="s">
        <v>70</v>
      </c>
      <c r="E194" s="21">
        <v>8.3000000000000007</v>
      </c>
      <c r="F194" s="21">
        <v>3.61</v>
      </c>
      <c r="G194" s="22">
        <v>25</v>
      </c>
      <c r="H194" s="23">
        <f>ROUND(IF(OR((((50/($E194+0.24))-[2]Konstanten!$G$5)/[2]Konstanten!$H$5)&lt;0,$E194=""),0,(((50/($E194+0.24))-[2]Konstanten!$G$5)/[2]Konstanten!$H$5)),0)</f>
        <v>334</v>
      </c>
      <c r="I194" s="23">
        <f>ROUND(IF(((SQRT($F194)-[2]Konstanten!$G$6)/[2]Konstanten!$H$6)&lt;0,0,((SQRT($F194)-[2]Konstanten!$G$6)/[2]Konstanten!$H$6)),0)</f>
        <v>388</v>
      </c>
      <c r="J194" s="23">
        <f>ROUND(IF(((SQRT($G194)-[2]Konstanten!$G$8)/[2]Konstanten!$H$8)&lt;0,0,((SQRT($G194)-[2]Konstanten!$G$8)/[2]Konstanten!$H$8)),0)</f>
        <v>341</v>
      </c>
      <c r="K194" s="24">
        <f t="shared" si="8"/>
        <v>1063</v>
      </c>
    </row>
    <row r="195" spans="1:11" ht="15.75" x14ac:dyDescent="0.25">
      <c r="A195" s="19" t="s">
        <v>124</v>
      </c>
      <c r="B195" s="20" t="s">
        <v>153</v>
      </c>
      <c r="C195" s="20" t="s">
        <v>87</v>
      </c>
      <c r="D195" s="20" t="s">
        <v>147</v>
      </c>
      <c r="E195" s="21">
        <v>8.3000000000000007</v>
      </c>
      <c r="F195" s="21">
        <v>3.59</v>
      </c>
      <c r="G195" s="22">
        <v>23</v>
      </c>
      <c r="H195" s="23">
        <f>ROUND(IF(OR((((50/($E195+0.24))-[2]Konstanten!$G$5)/[2]Konstanten!$H$5)&lt;0,$E195=""),0,(((50/($E195+0.24))-[2]Konstanten!$G$5)/[2]Konstanten!$H$5)),0)</f>
        <v>334</v>
      </c>
      <c r="I195" s="23">
        <f>ROUND(IF(((SQRT($F195)-[2]Konstanten!$G$6)/[2]Konstanten!$H$6)&lt;0,0,((SQRT($F195)-[2]Konstanten!$G$6)/[2]Konstanten!$H$6)),0)</f>
        <v>385</v>
      </c>
      <c r="J195" s="23">
        <f>ROUND(IF(((SQRT($G195)-[2]Konstanten!$G$8)/[2]Konstanten!$H$8)&lt;0,0,((SQRT($G195)-[2]Konstanten!$G$8)/[2]Konstanten!$H$8)),0)</f>
        <v>317</v>
      </c>
      <c r="K195" s="24">
        <f t="shared" si="8"/>
        <v>1036</v>
      </c>
    </row>
    <row r="196" spans="1:11" ht="15.75" x14ac:dyDescent="0.25">
      <c r="A196" s="19" t="s">
        <v>125</v>
      </c>
      <c r="B196" s="20" t="s">
        <v>213</v>
      </c>
      <c r="C196" s="20" t="s">
        <v>214</v>
      </c>
      <c r="D196" s="20" t="s">
        <v>191</v>
      </c>
      <c r="E196" s="21">
        <v>8.8000000000000007</v>
      </c>
      <c r="F196" s="21">
        <v>3.1</v>
      </c>
      <c r="G196" s="22">
        <v>27</v>
      </c>
      <c r="H196" s="23">
        <f>ROUND(IF(OR((((50/($E196+0.24))-[2]Konstanten!$G$5)/[2]Konstanten!$H$5)&lt;0,$E196=""),0,(((50/($E196+0.24))-[2]Konstanten!$G$5)/[2]Konstanten!$H$5)),0)</f>
        <v>285</v>
      </c>
      <c r="I196" s="23">
        <f>ROUND(IF(((SQRT($F196)-[2]Konstanten!$G$6)/[2]Konstanten!$H$6)&lt;0,0,((SQRT($F196)-[2]Konstanten!$G$6)/[2]Konstanten!$H$6)),0)</f>
        <v>321</v>
      </c>
      <c r="J196" s="23">
        <f>ROUND(IF(((SQRT($G196)-[2]Konstanten!$G$8)/[2]Konstanten!$H$8)&lt;0,0,((SQRT($G196)-[2]Konstanten!$G$8)/[2]Konstanten!$H$8)),0)</f>
        <v>363</v>
      </c>
      <c r="K196" s="24">
        <f t="shared" si="8"/>
        <v>969</v>
      </c>
    </row>
    <row r="197" spans="1:11" ht="15.75" x14ac:dyDescent="0.25">
      <c r="A197" s="19" t="s">
        <v>128</v>
      </c>
      <c r="B197" s="20" t="s">
        <v>230</v>
      </c>
      <c r="C197" s="20" t="s">
        <v>231</v>
      </c>
      <c r="D197" s="20" t="s">
        <v>70</v>
      </c>
      <c r="E197" s="21">
        <v>9.1</v>
      </c>
      <c r="F197" s="21">
        <v>3.36</v>
      </c>
      <c r="G197" s="22">
        <v>22.5</v>
      </c>
      <c r="H197" s="23">
        <f>ROUND(IF(OR((((50/($E197+0.24))-[2]Konstanten!$G$5)/[2]Konstanten!$H$5)&lt;0,$E197=""),0,(((50/($E197+0.24))-[2]Konstanten!$G$5)/[2]Konstanten!$H$5)),0)</f>
        <v>258</v>
      </c>
      <c r="I197" s="23">
        <f>ROUND(IF(((SQRT($F197)-[2]Konstanten!$G$6)/[2]Konstanten!$H$6)&lt;0,0,((SQRT($F197)-[2]Konstanten!$G$6)/[2]Konstanten!$H$6)),0)</f>
        <v>356</v>
      </c>
      <c r="J197" s="23">
        <f>ROUND(IF(((SQRT($G197)-[2]Konstanten!$G$8)/[2]Konstanten!$H$8)&lt;0,0,((SQRT($G197)-[2]Konstanten!$G$8)/[2]Konstanten!$H$8)),0)</f>
        <v>311</v>
      </c>
      <c r="K197" s="24">
        <f t="shared" si="8"/>
        <v>925</v>
      </c>
    </row>
    <row r="198" spans="1:11" ht="15.75" x14ac:dyDescent="0.25">
      <c r="A198" s="19" t="s">
        <v>129</v>
      </c>
      <c r="B198" s="25" t="s">
        <v>203</v>
      </c>
      <c r="C198" s="20" t="s">
        <v>215</v>
      </c>
      <c r="D198" s="20" t="s">
        <v>191</v>
      </c>
      <c r="E198" s="21">
        <v>8.3000000000000007</v>
      </c>
      <c r="F198" s="21">
        <v>3.31</v>
      </c>
      <c r="G198" s="22">
        <v>14</v>
      </c>
      <c r="H198" s="23">
        <f>ROUND(IF(OR((((50/($E198+0.24))-[2]Konstanten!$G$5)/[2]Konstanten!$H$5)&lt;0,$E198=""),0,(((50/($E198+0.24))-[2]Konstanten!$G$5)/[2]Konstanten!$H$5)),0)</f>
        <v>334</v>
      </c>
      <c r="I198" s="23">
        <f>ROUND(IF(((SQRT($F198)-[2]Konstanten!$G$6)/[2]Konstanten!$H$6)&lt;0,0,((SQRT($F198)-[2]Konstanten!$G$6)/[2]Konstanten!$H$6)),0)</f>
        <v>349</v>
      </c>
      <c r="J198" s="23">
        <f>ROUND(IF(((SQRT($G198)-[2]Konstanten!$G$8)/[2]Konstanten!$H$8)&lt;0,0,((SQRT($G198)-[2]Konstanten!$G$8)/[2]Konstanten!$H$8)),0)</f>
        <v>197</v>
      </c>
      <c r="K198" s="24">
        <f t="shared" si="8"/>
        <v>880</v>
      </c>
    </row>
    <row r="199" spans="1:11" ht="15.75" x14ac:dyDescent="0.25">
      <c r="A199" s="19"/>
      <c r="B199" s="20"/>
      <c r="C199" s="20"/>
      <c r="D199" s="20"/>
      <c r="E199" s="21"/>
      <c r="F199" s="21"/>
      <c r="G199" s="22"/>
      <c r="H199" s="23"/>
      <c r="I199" s="23"/>
      <c r="J199" s="23"/>
      <c r="K199" s="24"/>
    </row>
    <row r="200" spans="1:1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8" x14ac:dyDescent="0.25">
      <c r="A201" s="5"/>
      <c r="B201" s="33" t="s">
        <v>11</v>
      </c>
      <c r="C201" s="34"/>
      <c r="D201" s="5"/>
      <c r="E201" s="8"/>
      <c r="F201" s="8"/>
      <c r="G201" s="9"/>
      <c r="H201" s="5"/>
      <c r="I201" s="5"/>
      <c r="J201" s="5"/>
      <c r="K201" s="5"/>
    </row>
    <row r="202" spans="1:11" ht="18" x14ac:dyDescent="0.25">
      <c r="A202" s="5"/>
      <c r="B202" s="33" t="s">
        <v>12</v>
      </c>
      <c r="C202" s="33" t="s">
        <v>53</v>
      </c>
      <c r="D202" s="35" t="s">
        <v>54</v>
      </c>
      <c r="E202" s="8"/>
      <c r="F202" s="8"/>
      <c r="G202" s="9"/>
      <c r="H202" s="11">
        <f>ROUND(IF(OR((((50/($E202+0.24))-[16]Konstanten!$G$5)/[16]Konstanten!$H$5)&lt;0,$E202=""),0,(((50/($E202+0.24))-[16]Konstanten!$G$5)/[16]Konstanten!$H$5)),0)</f>
        <v>0</v>
      </c>
      <c r="I202" s="11">
        <f>ROUND(IF(((SQRT($F202)-[16]Konstanten!$G$6)/[16]Konstanten!$H$6)&lt;0,0,((SQRT($F202)-[16]Konstanten!$G$6)/[16]Konstanten!$H$6)),0)</f>
        <v>0</v>
      </c>
      <c r="J202" s="11">
        <f>ROUND(IF(((SQRT($G202)-[16]Konstanten!$G$8)/[16]Konstanten!$H$8)&lt;0,0,((SQRT($G202)-[16]Konstanten!$G$8)/[16]Konstanten!$H$8)),0)</f>
        <v>0</v>
      </c>
      <c r="K202" s="12">
        <f>SUM(H202:J202)</f>
        <v>0</v>
      </c>
    </row>
    <row r="203" spans="1:11" ht="15.75" x14ac:dyDescent="0.25">
      <c r="A203" s="5"/>
      <c r="B203" s="5"/>
      <c r="C203" s="5"/>
      <c r="D203" s="27">
        <v>2006</v>
      </c>
      <c r="E203" s="8"/>
      <c r="F203" s="8"/>
      <c r="G203" s="9"/>
      <c r="H203" s="5"/>
      <c r="I203" s="5"/>
      <c r="J203" s="5"/>
      <c r="K203" s="5"/>
    </row>
    <row r="204" spans="1:11" ht="47.25" x14ac:dyDescent="0.25">
      <c r="A204" s="5" t="s">
        <v>13</v>
      </c>
      <c r="B204" s="5" t="s">
        <v>14</v>
      </c>
      <c r="C204" s="5" t="s">
        <v>15</v>
      </c>
      <c r="D204" s="5" t="s">
        <v>16</v>
      </c>
      <c r="E204" s="13" t="s">
        <v>58</v>
      </c>
      <c r="F204" s="14" t="s">
        <v>18</v>
      </c>
      <c r="G204" s="15" t="s">
        <v>40</v>
      </c>
      <c r="H204" s="16" t="s">
        <v>20</v>
      </c>
      <c r="I204" s="17" t="s">
        <v>21</v>
      </c>
      <c r="J204" s="17" t="s">
        <v>22</v>
      </c>
      <c r="K204" s="18" t="s">
        <v>23</v>
      </c>
    </row>
    <row r="205" spans="1:11" ht="15.75" x14ac:dyDescent="0.25">
      <c r="A205" s="19" t="s">
        <v>24</v>
      </c>
      <c r="B205" s="37" t="s">
        <v>93</v>
      </c>
      <c r="C205" s="37" t="s">
        <v>164</v>
      </c>
      <c r="D205" s="37" t="s">
        <v>71</v>
      </c>
      <c r="E205" s="21">
        <v>11.4</v>
      </c>
      <c r="F205" s="21">
        <v>3.64</v>
      </c>
      <c r="G205" s="22">
        <v>38</v>
      </c>
      <c r="H205" s="23">
        <v>352</v>
      </c>
      <c r="I205" s="23">
        <f>ROUND(IF(((SQRT($F205)-[2]Konstanten!$G$6)/[2]Konstanten!$H$6)&lt;0,0,((SQRT($F205)-[2]Konstanten!$G$6)/[2]Konstanten!$H$6)),0)</f>
        <v>392</v>
      </c>
      <c r="J205" s="23">
        <f>ROUND(IF(((SQRT($G205)-[2]Konstanten!$G$8)/[2]Konstanten!$H$8)&lt;0,0,((SQRT($G205)-[2]Konstanten!$G$8)/[2]Konstanten!$H$8)),0)</f>
        <v>474</v>
      </c>
      <c r="K205" s="24">
        <f>SUM(H205:J205)</f>
        <v>1218</v>
      </c>
    </row>
    <row r="206" spans="1:11" ht="15.75" x14ac:dyDescent="0.25">
      <c r="A206" s="19" t="s">
        <v>25</v>
      </c>
      <c r="B206" s="20" t="s">
        <v>94</v>
      </c>
      <c r="C206" s="20" t="s">
        <v>126</v>
      </c>
      <c r="D206" s="20" t="s">
        <v>70</v>
      </c>
      <c r="E206" s="21">
        <v>11.3</v>
      </c>
      <c r="F206" s="21">
        <v>3.65</v>
      </c>
      <c r="G206" s="22">
        <v>30</v>
      </c>
      <c r="H206" s="23">
        <v>361</v>
      </c>
      <c r="I206" s="23">
        <f>ROUND(IF(((SQRT($F206)-[2]Konstanten!$G$6)/[2]Konstanten!$H$6)&lt;0,0,((SQRT($F206)-[2]Konstanten!$G$6)/[2]Konstanten!$H$6)),0)</f>
        <v>393</v>
      </c>
      <c r="J206" s="23">
        <f>ROUND(IF(((SQRT($G206)-[2]Konstanten!$G$8)/[2]Konstanten!$H$8)&lt;0,0,((SQRT($G206)-[2]Konstanten!$G$8)/[2]Konstanten!$H$8)),0)</f>
        <v>395</v>
      </c>
      <c r="K206" s="24">
        <f>SUM(H206:J206)</f>
        <v>1149</v>
      </c>
    </row>
    <row r="207" spans="1:11" ht="15.75" x14ac:dyDescent="0.25">
      <c r="A207" s="19" t="s">
        <v>124</v>
      </c>
      <c r="B207" s="20" t="s">
        <v>234</v>
      </c>
      <c r="C207" s="20" t="s">
        <v>235</v>
      </c>
      <c r="D207" s="20" t="s">
        <v>70</v>
      </c>
      <c r="E207" s="21">
        <v>11.9</v>
      </c>
      <c r="F207" s="21">
        <v>3.35</v>
      </c>
      <c r="G207" s="22">
        <v>27</v>
      </c>
      <c r="H207" s="23">
        <v>312</v>
      </c>
      <c r="I207" s="23">
        <f>ROUND(IF(((SQRT($F207)-[2]Konstanten!$G$6)/[2]Konstanten!$H$6)&lt;0,0,((SQRT($F207)-[2]Konstanten!$G$6)/[2]Konstanten!$H$6)),0)</f>
        <v>354</v>
      </c>
      <c r="J207" s="23">
        <f>ROUND(IF(((SQRT($G207)-[2]Konstanten!$G$8)/[2]Konstanten!$H$8)&lt;0,0,((SQRT($G207)-[2]Konstanten!$G$8)/[2]Konstanten!$H$8)),0)</f>
        <v>363</v>
      </c>
      <c r="K207" s="24">
        <f>SUM(H207:J207)</f>
        <v>1029</v>
      </c>
    </row>
    <row r="208" spans="1:11" ht="15.75" x14ac:dyDescent="0.25">
      <c r="A208" s="19" t="s">
        <v>125</v>
      </c>
      <c r="B208" s="37" t="s">
        <v>167</v>
      </c>
      <c r="C208" s="37" t="s">
        <v>168</v>
      </c>
      <c r="D208" s="37" t="s">
        <v>81</v>
      </c>
      <c r="E208" s="21">
        <v>13.7</v>
      </c>
      <c r="F208" s="21">
        <v>2.97</v>
      </c>
      <c r="G208" s="22">
        <v>27</v>
      </c>
      <c r="H208" s="23">
        <v>192</v>
      </c>
      <c r="I208" s="23">
        <f>ROUND(IF(((SQRT($F208)-[2]Konstanten!$G$6)/[2]Konstanten!$H$6)&lt;0,0,((SQRT($F208)-[2]Konstanten!$G$6)/[2]Konstanten!$H$6)),0)</f>
        <v>303</v>
      </c>
      <c r="J208" s="23">
        <f>ROUND(IF(((SQRT($G208)-[2]Konstanten!$G$8)/[2]Konstanten!$H$8)&lt;0,0,((SQRT($G208)-[2]Konstanten!$G$8)/[2]Konstanten!$H$8)),0)</f>
        <v>363</v>
      </c>
      <c r="K208" s="24">
        <f>SUM(H208:J208)</f>
        <v>858</v>
      </c>
    </row>
    <row r="209" spans="1:11" x14ac:dyDescent="0.2">
      <c r="A209" s="25"/>
      <c r="B209" s="25"/>
      <c r="C209" s="25"/>
      <c r="D209" s="25"/>
      <c r="E209" s="28"/>
      <c r="F209" s="28"/>
      <c r="G209" s="29"/>
      <c r="H209" s="25"/>
      <c r="I209" s="25"/>
      <c r="J209" s="25"/>
      <c r="K209" s="30"/>
    </row>
    <row r="210" spans="1:1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8" x14ac:dyDescent="0.25">
      <c r="A211" s="5"/>
      <c r="B211" s="33" t="s">
        <v>11</v>
      </c>
      <c r="C211" s="34"/>
      <c r="D211" s="5"/>
      <c r="E211" s="8"/>
      <c r="F211" s="8"/>
      <c r="G211" s="9"/>
      <c r="H211" s="5"/>
      <c r="I211" s="5"/>
      <c r="J211" s="5"/>
      <c r="K211" s="5"/>
    </row>
    <row r="212" spans="1:11" ht="18" x14ac:dyDescent="0.25">
      <c r="A212" s="5"/>
      <c r="B212" s="33" t="s">
        <v>12</v>
      </c>
      <c r="C212" s="33" t="s">
        <v>55</v>
      </c>
      <c r="D212" s="35" t="s">
        <v>56</v>
      </c>
      <c r="E212" s="8"/>
      <c r="F212" s="8"/>
      <c r="G212" s="9"/>
      <c r="H212" s="11">
        <f>ROUND(IF(OR((((50/($E212+0.24))-[17]Konstanten!$G$5)/[17]Konstanten!$H$5)&lt;0,$E212=""),0,(((50/($E212+0.24))-[17]Konstanten!$G$5)/[17]Konstanten!$H$5)),0)</f>
        <v>0</v>
      </c>
      <c r="I212" s="11">
        <f>ROUND(IF(((SQRT($F212)-[17]Konstanten!$G$6)/[17]Konstanten!$H$6)&lt;0,0,((SQRT($F212)-[17]Konstanten!$G$6)/[17]Konstanten!$H$6)),0)</f>
        <v>0</v>
      </c>
      <c r="J212" s="11">
        <f>ROUND(IF(((SQRT($G212)-[17]Konstanten!$G$8)/[17]Konstanten!$H$8)&lt;0,0,((SQRT($G212)-[17]Konstanten!$G$8)/[17]Konstanten!$H$8)),0)</f>
        <v>0</v>
      </c>
      <c r="K212" s="12">
        <f>SUM(H212:J212)</f>
        <v>0</v>
      </c>
    </row>
    <row r="213" spans="1:11" ht="15.75" x14ac:dyDescent="0.25">
      <c r="A213" s="5"/>
      <c r="B213" s="5"/>
      <c r="C213" s="5"/>
      <c r="D213" s="27">
        <v>2005</v>
      </c>
      <c r="E213" s="8"/>
      <c r="F213" s="8"/>
      <c r="G213" s="9"/>
      <c r="H213" s="5"/>
      <c r="I213" s="5"/>
      <c r="J213" s="5"/>
      <c r="K213" s="5"/>
    </row>
    <row r="214" spans="1:11" ht="47.25" x14ac:dyDescent="0.25">
      <c r="A214" s="5" t="s">
        <v>13</v>
      </c>
      <c r="B214" s="5" t="s">
        <v>14</v>
      </c>
      <c r="C214" s="5" t="s">
        <v>15</v>
      </c>
      <c r="D214" s="5" t="s">
        <v>16</v>
      </c>
      <c r="E214" s="13" t="s">
        <v>58</v>
      </c>
      <c r="F214" s="14" t="s">
        <v>18</v>
      </c>
      <c r="G214" s="15" t="s">
        <v>40</v>
      </c>
      <c r="H214" s="16" t="s">
        <v>20</v>
      </c>
      <c r="I214" s="17" t="s">
        <v>21</v>
      </c>
      <c r="J214" s="17" t="s">
        <v>22</v>
      </c>
      <c r="K214" s="18" t="s">
        <v>23</v>
      </c>
    </row>
    <row r="215" spans="1:11" ht="15.75" x14ac:dyDescent="0.25">
      <c r="A215" s="19" t="s">
        <v>24</v>
      </c>
      <c r="B215" s="20" t="s">
        <v>105</v>
      </c>
      <c r="C215" s="20" t="s">
        <v>106</v>
      </c>
      <c r="D215" s="20" t="s">
        <v>70</v>
      </c>
      <c r="E215" s="21">
        <v>11.2</v>
      </c>
      <c r="F215" s="21">
        <v>3.77</v>
      </c>
      <c r="G215" s="22">
        <v>36</v>
      </c>
      <c r="H215" s="23">
        <v>369</v>
      </c>
      <c r="I215" s="23">
        <f>ROUND(IF(((SQRT($F215)-[2]Konstanten!$G$6)/[2]Konstanten!$H$6)&lt;0,0,((SQRT($F215)-[2]Konstanten!$G$6)/[2]Konstanten!$H$6)),0)</f>
        <v>408</v>
      </c>
      <c r="J215" s="23">
        <f>ROUND(IF(((SQRT($G215)-[2]Konstanten!$G$8)/[2]Konstanten!$H$8)&lt;0,0,((SQRT($G215)-[2]Konstanten!$G$8)/[2]Konstanten!$H$8)),0)</f>
        <v>455</v>
      </c>
      <c r="K215" s="24">
        <f>SUM(H215:J215)</f>
        <v>1232</v>
      </c>
    </row>
    <row r="216" spans="1:11" ht="15.75" x14ac:dyDescent="0.25">
      <c r="A216" s="19" t="s">
        <v>25</v>
      </c>
      <c r="B216" s="20" t="s">
        <v>105</v>
      </c>
      <c r="C216" s="20" t="s">
        <v>236</v>
      </c>
      <c r="D216" s="20" t="s">
        <v>70</v>
      </c>
      <c r="E216" s="21">
        <v>11.5</v>
      </c>
      <c r="F216" s="21">
        <v>4</v>
      </c>
      <c r="G216" s="22">
        <v>34</v>
      </c>
      <c r="H216" s="23">
        <v>344</v>
      </c>
      <c r="I216" s="23">
        <f>ROUND(IF(((SQRT($F216)-[2]Konstanten!$G$6)/[2]Konstanten!$H$6)&lt;0,0,((SQRT($F216)-[2]Konstanten!$G$6)/[2]Konstanten!$H$6)),0)</f>
        <v>436</v>
      </c>
      <c r="J216" s="23">
        <f>ROUND(IF(((SQRT($G216)-[2]Konstanten!$G$8)/[2]Konstanten!$H$8)&lt;0,0,((SQRT($G216)-[2]Konstanten!$G$8)/[2]Konstanten!$H$8)),0)</f>
        <v>436</v>
      </c>
      <c r="K216" s="24">
        <f>SUM(H216:J216)</f>
        <v>1216</v>
      </c>
    </row>
    <row r="217" spans="1:11" ht="15.75" x14ac:dyDescent="0.25">
      <c r="A217" s="19" t="s">
        <v>124</v>
      </c>
      <c r="B217" s="20" t="s">
        <v>95</v>
      </c>
      <c r="C217" s="20" t="s">
        <v>96</v>
      </c>
      <c r="D217" s="20" t="s">
        <v>70</v>
      </c>
      <c r="E217" s="21">
        <v>11.9</v>
      </c>
      <c r="F217" s="21">
        <v>3.93</v>
      </c>
      <c r="G217" s="22">
        <v>27</v>
      </c>
      <c r="H217" s="23">
        <v>312</v>
      </c>
      <c r="I217" s="23">
        <f>ROUND(IF(((SQRT($F217)-[2]Konstanten!$G$6)/[2]Konstanten!$H$6)&lt;0,0,((SQRT($F217)-[2]Konstanten!$G$6)/[2]Konstanten!$H$6)),0)</f>
        <v>427</v>
      </c>
      <c r="J217" s="23">
        <f>ROUND(IF(((SQRT($G217)-[2]Konstanten!$G$8)/[2]Konstanten!$H$8)&lt;0,0,((SQRT($G217)-[2]Konstanten!$G$8)/[2]Konstanten!$H$8)),0)</f>
        <v>363</v>
      </c>
      <c r="K217" s="24">
        <f>SUM(H217:J217)</f>
        <v>1102</v>
      </c>
    </row>
    <row r="218" spans="1:11" ht="15.75" x14ac:dyDescent="0.25">
      <c r="A218" s="19" t="s">
        <v>125</v>
      </c>
      <c r="B218" s="20" t="s">
        <v>82</v>
      </c>
      <c r="C218" s="20" t="s">
        <v>97</v>
      </c>
      <c r="D218" s="20" t="s">
        <v>70</v>
      </c>
      <c r="E218" s="21">
        <v>12.5</v>
      </c>
      <c r="F218" s="21">
        <v>3.44</v>
      </c>
      <c r="G218" s="22">
        <v>33</v>
      </c>
      <c r="H218" s="23">
        <v>269</v>
      </c>
      <c r="I218" s="23">
        <f>ROUND(IF(((SQRT($F218)-[2]Konstanten!$G$6)/[2]Konstanten!$H$6)&lt;0,0,((SQRT($F218)-[2]Konstanten!$G$6)/[2]Konstanten!$H$6)),0)</f>
        <v>366</v>
      </c>
      <c r="J218" s="23">
        <f>ROUND(IF(((SQRT($G218)-[2]Konstanten!$G$8)/[2]Konstanten!$H$8)&lt;0,0,((SQRT($G218)-[2]Konstanten!$G$8)/[2]Konstanten!$H$8)),0)</f>
        <v>426</v>
      </c>
      <c r="K218" s="24">
        <f>SUM(H218:J218)</f>
        <v>1061</v>
      </c>
    </row>
    <row r="219" spans="1:11" ht="15.75" x14ac:dyDescent="0.25">
      <c r="A219" s="19"/>
      <c r="B219" s="20"/>
      <c r="C219" s="20"/>
      <c r="D219" s="20"/>
      <c r="E219" s="21"/>
      <c r="F219" s="21"/>
      <c r="G219" s="22"/>
      <c r="H219" s="23"/>
      <c r="I219" s="23"/>
      <c r="J219" s="23"/>
      <c r="K219" s="24"/>
    </row>
    <row r="220" spans="1:1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8" x14ac:dyDescent="0.25">
      <c r="A221" s="5"/>
      <c r="B221" s="33" t="s">
        <v>11</v>
      </c>
      <c r="C221" s="34"/>
      <c r="D221" s="5"/>
      <c r="E221" s="8"/>
      <c r="F221" s="8"/>
      <c r="G221" s="9"/>
      <c r="H221" s="5"/>
      <c r="I221" s="5"/>
      <c r="J221" s="5"/>
      <c r="K221" s="5"/>
    </row>
    <row r="222" spans="1:11" ht="18" x14ac:dyDescent="0.25">
      <c r="A222" s="5"/>
      <c r="B222" s="33" t="s">
        <v>12</v>
      </c>
      <c r="C222" s="33" t="s">
        <v>134</v>
      </c>
      <c r="D222" s="35" t="s">
        <v>135</v>
      </c>
      <c r="E222" s="8"/>
      <c r="F222" s="8"/>
      <c r="G222" s="9"/>
      <c r="H222" s="11">
        <f>ROUND(IF(OR((((50/($E222+0.24))-[18]Konstanten!$G$5)/[18]Konstanten!$H$5)&lt;0,$E222=""),0,(((50/($E222+0.24))-[18]Konstanten!$G$5)/[18]Konstanten!$H$5)),0)</f>
        <v>0</v>
      </c>
      <c r="I222" s="11">
        <f>ROUND(IF(((SQRT($F222)-[18]Konstanten!$G$6)/[18]Konstanten!$H$6)&lt;0,0,((SQRT($F222)-[18]Konstanten!$G$6)/[18]Konstanten!$H$6)),0)</f>
        <v>0</v>
      </c>
      <c r="J222" s="11">
        <f>ROUND(IF(((SQRT($G222)-[18]Konstanten!$G$8)/[18]Konstanten!$H$8)&lt;0,0,((SQRT($G222)-[18]Konstanten!$G$8)/[18]Konstanten!$H$8)),0)</f>
        <v>0</v>
      </c>
      <c r="K222" s="12">
        <f>SUM(H222:J222)</f>
        <v>0</v>
      </c>
    </row>
    <row r="223" spans="1:11" ht="15.75" x14ac:dyDescent="0.25">
      <c r="A223" s="5"/>
      <c r="B223" s="5"/>
      <c r="C223" s="5"/>
      <c r="D223" s="36">
        <v>2004</v>
      </c>
      <c r="E223" s="8"/>
      <c r="F223" s="8"/>
      <c r="G223" s="9"/>
      <c r="H223" s="5"/>
      <c r="I223" s="5"/>
      <c r="J223" s="5"/>
      <c r="K223" s="5"/>
    </row>
    <row r="224" spans="1:11" ht="47.25" x14ac:dyDescent="0.25">
      <c r="A224" s="5" t="s">
        <v>13</v>
      </c>
      <c r="B224" s="5" t="s">
        <v>14</v>
      </c>
      <c r="C224" s="5" t="s">
        <v>15</v>
      </c>
      <c r="D224" s="5" t="s">
        <v>16</v>
      </c>
      <c r="E224" s="13" t="s">
        <v>59</v>
      </c>
      <c r="F224" s="14" t="s">
        <v>18</v>
      </c>
      <c r="G224" s="15" t="s">
        <v>139</v>
      </c>
      <c r="H224" s="16" t="s">
        <v>20</v>
      </c>
      <c r="I224" s="17" t="s">
        <v>21</v>
      </c>
      <c r="J224" s="17" t="s">
        <v>22</v>
      </c>
      <c r="K224" s="18" t="s">
        <v>23</v>
      </c>
    </row>
    <row r="225" spans="1:11" ht="15.75" x14ac:dyDescent="0.25">
      <c r="A225" s="19" t="s">
        <v>24</v>
      </c>
      <c r="B225" s="37" t="s">
        <v>185</v>
      </c>
      <c r="C225" s="37" t="s">
        <v>186</v>
      </c>
      <c r="D225" s="37" t="s">
        <v>176</v>
      </c>
      <c r="E225" s="21">
        <v>14.3</v>
      </c>
      <c r="F225" s="21">
        <v>3.78</v>
      </c>
      <c r="G225" s="21">
        <v>6.72</v>
      </c>
      <c r="H225" s="23">
        <v>392</v>
      </c>
      <c r="I225" s="23">
        <f>ROUND(IF(((SQRT($F225)-[4]Konstanten!$G$6)/[4]Konstanten!$H$6)&lt;0,0,((SQRT($F225)-[4]Konstanten!$G$6)/[4]Konstanten!$H$6)),0)</f>
        <v>409</v>
      </c>
      <c r="J225" s="23">
        <v>315</v>
      </c>
      <c r="K225" s="24">
        <f t="shared" ref="K225" si="9">SUM(H225:J225)</f>
        <v>1116</v>
      </c>
    </row>
    <row r="226" spans="1:11" ht="15.75" x14ac:dyDescent="0.25">
      <c r="A226" s="19"/>
      <c r="B226" s="20"/>
      <c r="C226" s="20"/>
      <c r="D226" s="20"/>
      <c r="E226" s="21"/>
      <c r="F226" s="21"/>
      <c r="G226" s="22"/>
      <c r="H226" s="23"/>
      <c r="I226" s="23"/>
      <c r="J226" s="23"/>
      <c r="K226" s="24"/>
    </row>
    <row r="227" spans="1:11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5"/>
      <c r="K227" s="5"/>
    </row>
    <row r="228" spans="1:11" ht="18" x14ac:dyDescent="0.25">
      <c r="A228" s="5"/>
      <c r="B228" s="33" t="s">
        <v>11</v>
      </c>
      <c r="C228" s="34"/>
      <c r="D228" s="5"/>
      <c r="E228" s="8"/>
      <c r="F228" s="8"/>
      <c r="G228" s="9"/>
      <c r="H228" s="5"/>
      <c r="I228" s="5"/>
      <c r="J228" s="5"/>
      <c r="K228" s="5"/>
    </row>
    <row r="229" spans="1:11" ht="18" x14ac:dyDescent="0.25">
      <c r="A229" s="5"/>
      <c r="B229" s="33" t="s">
        <v>12</v>
      </c>
      <c r="C229" s="33" t="s">
        <v>101</v>
      </c>
      <c r="D229" s="35" t="s">
        <v>102</v>
      </c>
      <c r="E229" s="8"/>
      <c r="F229" s="8"/>
      <c r="G229" s="9"/>
      <c r="H229" s="11">
        <f>ROUND(IF(OR((((50/($E229+0.24))-[18]Konstanten!$G$5)/[18]Konstanten!$H$5)&lt;0,$E229=""),0,(((50/($E229+0.24))-[18]Konstanten!$G$5)/[18]Konstanten!$H$5)),0)</f>
        <v>0</v>
      </c>
      <c r="I229" s="11">
        <f>ROUND(IF(((SQRT($F229)-[18]Konstanten!$G$6)/[18]Konstanten!$H$6)&lt;0,0,((SQRT($F229)-[18]Konstanten!$G$6)/[18]Konstanten!$H$6)),0)</f>
        <v>0</v>
      </c>
      <c r="J229" s="11">
        <f>ROUND(IF(((SQRT($G229)-[18]Konstanten!$G$8)/[18]Konstanten!$H$8)&lt;0,0,((SQRT($G229)-[18]Konstanten!$G$8)/[18]Konstanten!$H$8)),0)</f>
        <v>0</v>
      </c>
      <c r="K229" s="12">
        <f>SUM(H229:J229)</f>
        <v>0</v>
      </c>
    </row>
    <row r="230" spans="1:11" ht="15.75" x14ac:dyDescent="0.25">
      <c r="A230" s="5"/>
      <c r="B230" s="5"/>
      <c r="C230" s="5"/>
      <c r="D230" s="36">
        <v>0</v>
      </c>
      <c r="E230" s="8"/>
      <c r="F230" s="8"/>
      <c r="G230" s="9"/>
      <c r="H230" s="5"/>
      <c r="I230" s="5"/>
      <c r="J230" s="5"/>
      <c r="K230" s="5"/>
    </row>
    <row r="231" spans="1:11" ht="47.25" x14ac:dyDescent="0.25">
      <c r="A231" s="5" t="s">
        <v>13</v>
      </c>
      <c r="B231" s="5" t="s">
        <v>14</v>
      </c>
      <c r="C231" s="5" t="s">
        <v>15</v>
      </c>
      <c r="D231" s="5" t="s">
        <v>16</v>
      </c>
      <c r="E231" s="13" t="s">
        <v>59</v>
      </c>
      <c r="F231" s="14" t="s">
        <v>18</v>
      </c>
      <c r="G231" s="15" t="s">
        <v>139</v>
      </c>
      <c r="H231" s="16" t="s">
        <v>20</v>
      </c>
      <c r="I231" s="17" t="s">
        <v>21</v>
      </c>
      <c r="J231" s="17" t="s">
        <v>22</v>
      </c>
      <c r="K231" s="18" t="s">
        <v>23</v>
      </c>
    </row>
    <row r="232" spans="1:11" ht="15.75" x14ac:dyDescent="0.25">
      <c r="A232" s="19" t="s">
        <v>24</v>
      </c>
      <c r="B232" s="20" t="s">
        <v>98</v>
      </c>
      <c r="C232" s="20" t="s">
        <v>99</v>
      </c>
      <c r="D232" s="20" t="s">
        <v>71</v>
      </c>
      <c r="E232" s="21">
        <v>12.6</v>
      </c>
      <c r="F232" s="21">
        <v>5.44</v>
      </c>
      <c r="G232" s="21">
        <v>11</v>
      </c>
      <c r="H232" s="23">
        <v>531</v>
      </c>
      <c r="I232" s="23">
        <f>ROUND(IF(((SQRT($F232)-[4]Konstanten!$G$6)/[4]Konstanten!$H$6)&lt;0,0,((SQRT($F232)-[4]Konstanten!$G$6)/[4]Konstanten!$H$6)),0)</f>
        <v>596</v>
      </c>
      <c r="J232" s="23">
        <v>511</v>
      </c>
      <c r="K232" s="24">
        <f>SUM(H232:J232)</f>
        <v>1638</v>
      </c>
    </row>
    <row r="233" spans="1:11" ht="15.75" x14ac:dyDescent="0.25">
      <c r="A233" s="19" t="s">
        <v>25</v>
      </c>
      <c r="B233" s="20" t="s">
        <v>94</v>
      </c>
      <c r="C233" s="20" t="s">
        <v>100</v>
      </c>
      <c r="D233" s="20" t="s">
        <v>70</v>
      </c>
      <c r="E233" s="21">
        <v>13.2</v>
      </c>
      <c r="F233" s="21">
        <v>4.63</v>
      </c>
      <c r="G233" s="21">
        <v>9.0299999999999994</v>
      </c>
      <c r="H233" s="23">
        <v>478</v>
      </c>
      <c r="I233" s="23">
        <f>ROUND(IF(((SQRT($F233)-[4]Konstanten!$G$6)/[4]Konstanten!$H$6)&lt;0,0,((SQRT($F233)-[4]Konstanten!$G$6)/[4]Konstanten!$H$6)),0)</f>
        <v>509</v>
      </c>
      <c r="J233" s="23">
        <v>427</v>
      </c>
      <c r="K233" s="24">
        <f>SUM(H233:J233)</f>
        <v>1414</v>
      </c>
    </row>
    <row r="234" spans="1:11" ht="15.75" x14ac:dyDescent="0.25">
      <c r="A234" s="19"/>
      <c r="B234" s="20"/>
      <c r="C234" s="20"/>
      <c r="D234" s="20"/>
      <c r="E234" s="21"/>
      <c r="F234" s="21"/>
      <c r="G234" s="22"/>
      <c r="H234" s="23"/>
      <c r="I234" s="23"/>
      <c r="J234" s="23"/>
      <c r="K234" s="24"/>
    </row>
    <row r="235" spans="1:11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5"/>
      <c r="K235" s="5"/>
    </row>
    <row r="236" spans="1:11" ht="18" x14ac:dyDescent="0.25">
      <c r="A236" s="5"/>
      <c r="B236" s="33" t="s">
        <v>11</v>
      </c>
      <c r="C236" s="34"/>
      <c r="D236" s="5"/>
      <c r="E236" s="8"/>
      <c r="F236" s="8"/>
      <c r="G236" s="9"/>
      <c r="H236" s="5"/>
      <c r="I236" s="5"/>
      <c r="J236" s="5"/>
      <c r="K236" s="5"/>
    </row>
    <row r="237" spans="1:11" ht="18" x14ac:dyDescent="0.25">
      <c r="A237" s="5"/>
      <c r="B237" s="33" t="s">
        <v>12</v>
      </c>
      <c r="C237" s="33" t="s">
        <v>115</v>
      </c>
      <c r="D237" s="35" t="s">
        <v>116</v>
      </c>
      <c r="E237" s="8"/>
      <c r="F237" s="8"/>
      <c r="G237" s="9"/>
      <c r="H237" s="11">
        <f>ROUND(IF(OR((((50/($E237+0.24))-[18]Konstanten!$G$5)/[18]Konstanten!$H$5)&lt;0,$E237=""),0,(((50/($E237+0.24))-[18]Konstanten!$G$5)/[18]Konstanten!$H$5)),0)</f>
        <v>0</v>
      </c>
      <c r="I237" s="11">
        <f>ROUND(IF(((SQRT($F237)-[18]Konstanten!$G$6)/[18]Konstanten!$H$6)&lt;0,0,((SQRT($F237)-[18]Konstanten!$G$6)/[18]Konstanten!$H$6)),0)</f>
        <v>0</v>
      </c>
      <c r="J237" s="11">
        <f>ROUND(IF(((SQRT($G237)-[18]Konstanten!$G$8)/[18]Konstanten!$H$8)&lt;0,0,((SQRT($G237)-[18]Konstanten!$G$8)/[18]Konstanten!$H$8)),0)</f>
        <v>0</v>
      </c>
      <c r="K237" s="12">
        <f>SUM(H237:J237)</f>
        <v>0</v>
      </c>
    </row>
    <row r="238" spans="1:11" ht="15.75" x14ac:dyDescent="0.25">
      <c r="A238" s="5"/>
      <c r="B238" s="5"/>
      <c r="C238" s="5"/>
      <c r="D238" s="36">
        <v>0</v>
      </c>
      <c r="E238" s="8"/>
      <c r="F238" s="8"/>
      <c r="G238" s="9"/>
      <c r="H238" s="5"/>
      <c r="I238" s="5"/>
      <c r="J238" s="5"/>
      <c r="K238" s="5"/>
    </row>
    <row r="239" spans="1:11" ht="47.25" x14ac:dyDescent="0.25">
      <c r="A239" s="5" t="s">
        <v>13</v>
      </c>
      <c r="B239" s="5" t="s">
        <v>14</v>
      </c>
      <c r="C239" s="5" t="s">
        <v>15</v>
      </c>
      <c r="D239" s="5" t="s">
        <v>16</v>
      </c>
      <c r="E239" s="13" t="s">
        <v>59</v>
      </c>
      <c r="F239" s="14" t="s">
        <v>18</v>
      </c>
      <c r="G239" s="15" t="s">
        <v>140</v>
      </c>
      <c r="H239" s="16" t="s">
        <v>20</v>
      </c>
      <c r="I239" s="17" t="s">
        <v>21</v>
      </c>
      <c r="J239" s="17" t="s">
        <v>22</v>
      </c>
      <c r="K239" s="18" t="s">
        <v>23</v>
      </c>
    </row>
    <row r="240" spans="1:11" ht="15.75" x14ac:dyDescent="0.25">
      <c r="A240" s="19" t="s">
        <v>24</v>
      </c>
      <c r="B240" s="25" t="s">
        <v>107</v>
      </c>
      <c r="C240" s="20" t="s">
        <v>87</v>
      </c>
      <c r="D240" s="20" t="s">
        <v>71</v>
      </c>
      <c r="E240" s="21">
        <v>12.5</v>
      </c>
      <c r="F240" s="21">
        <v>5.28</v>
      </c>
      <c r="G240" s="21">
        <v>6.72</v>
      </c>
      <c r="H240" s="23">
        <v>541</v>
      </c>
      <c r="I240" s="23">
        <f>ROUND(IF(((SQRT($F240)-[4]Konstanten!$G$6)/[4]Konstanten!$H$6)&lt;0,0,((SQRT($F240)-[4]Konstanten!$G$6)/[4]Konstanten!$H$6)),0)</f>
        <v>579</v>
      </c>
      <c r="J240" s="23">
        <v>315</v>
      </c>
      <c r="K240" s="24">
        <f t="shared" ref="K240" si="10">SUM(H240:J240)</f>
        <v>1435</v>
      </c>
    </row>
    <row r="241" spans="1:11" ht="15.75" x14ac:dyDescent="0.25">
      <c r="A241" s="19"/>
      <c r="B241" s="20"/>
      <c r="C241" s="20"/>
      <c r="D241" s="20"/>
      <c r="E241" s="21"/>
      <c r="F241" s="21"/>
      <c r="G241" s="22"/>
      <c r="H241" s="23"/>
      <c r="I241" s="23"/>
      <c r="J241" s="23"/>
      <c r="K241" s="24"/>
    </row>
    <row r="242" spans="1:1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8" x14ac:dyDescent="0.25">
      <c r="A244" s="5"/>
      <c r="B244" s="33" t="s">
        <v>11</v>
      </c>
      <c r="C244" s="34"/>
      <c r="D244" s="5"/>
      <c r="E244" s="8"/>
      <c r="F244" s="8"/>
      <c r="G244" s="9"/>
      <c r="H244" s="5"/>
      <c r="I244" s="5"/>
      <c r="J244" s="5"/>
      <c r="K244" s="5"/>
    </row>
    <row r="245" spans="1:11" ht="18" x14ac:dyDescent="0.25">
      <c r="A245" s="5"/>
      <c r="B245" s="33" t="s">
        <v>12</v>
      </c>
      <c r="C245" s="33" t="s">
        <v>110</v>
      </c>
      <c r="D245" s="35" t="s">
        <v>111</v>
      </c>
      <c r="E245" s="8"/>
      <c r="F245" s="8"/>
      <c r="G245" s="9"/>
      <c r="H245" s="11">
        <f>ROUND(IF(OR((((50/($E245+0.24))-[18]Konstanten!$G$5)/[18]Konstanten!$H$5)&lt;0,$E245=""),0,(((50/($E245+0.24))-[18]Konstanten!$G$5)/[18]Konstanten!$H$5)),0)</f>
        <v>0</v>
      </c>
      <c r="I245" s="11">
        <f>ROUND(IF(((SQRT($F245)-[18]Konstanten!$G$6)/[18]Konstanten!$H$6)&lt;0,0,((SQRT($F245)-[18]Konstanten!$G$6)/[18]Konstanten!$H$6)),0)</f>
        <v>0</v>
      </c>
      <c r="J245" s="11">
        <f>ROUND(IF(((SQRT($G245)-[18]Konstanten!$G$8)/[18]Konstanten!$H$8)&lt;0,0,((SQRT($G245)-[18]Konstanten!$G$8)/[18]Konstanten!$H$8)),0)</f>
        <v>0</v>
      </c>
      <c r="K245" s="12">
        <f>SUM(H245:J245)</f>
        <v>0</v>
      </c>
    </row>
    <row r="246" spans="1:11" ht="15.75" x14ac:dyDescent="0.25">
      <c r="A246" s="5"/>
      <c r="B246" s="5"/>
      <c r="C246" s="5"/>
      <c r="D246" s="36">
        <v>0</v>
      </c>
      <c r="E246" s="8"/>
      <c r="F246" s="8"/>
      <c r="G246" s="9"/>
      <c r="H246" s="5"/>
      <c r="I246" s="5"/>
      <c r="J246" s="5"/>
      <c r="K246" s="5"/>
    </row>
    <row r="247" spans="1:11" ht="47.25" x14ac:dyDescent="0.25">
      <c r="A247" s="5" t="s">
        <v>13</v>
      </c>
      <c r="B247" s="5" t="s">
        <v>14</v>
      </c>
      <c r="C247" s="5" t="s">
        <v>15</v>
      </c>
      <c r="D247" s="5" t="s">
        <v>16</v>
      </c>
      <c r="E247" s="13" t="s">
        <v>59</v>
      </c>
      <c r="F247" s="14" t="s">
        <v>18</v>
      </c>
      <c r="G247" s="15" t="s">
        <v>112</v>
      </c>
      <c r="H247" s="16" t="s">
        <v>20</v>
      </c>
      <c r="I247" s="17" t="s">
        <v>21</v>
      </c>
      <c r="J247" s="17" t="s">
        <v>22</v>
      </c>
      <c r="K247" s="18" t="s">
        <v>23</v>
      </c>
    </row>
    <row r="248" spans="1:11" ht="15.75" x14ac:dyDescent="0.25">
      <c r="A248" s="19" t="s">
        <v>24</v>
      </c>
      <c r="B248" s="37" t="s">
        <v>170</v>
      </c>
      <c r="C248" s="37" t="s">
        <v>174</v>
      </c>
      <c r="D248" s="37" t="s">
        <v>171</v>
      </c>
      <c r="E248" s="21">
        <v>13.3</v>
      </c>
      <c r="F248" s="21">
        <v>5.3</v>
      </c>
      <c r="G248" s="21">
        <v>9.9</v>
      </c>
      <c r="H248" s="23">
        <v>418</v>
      </c>
      <c r="I248" s="23">
        <f>ROUND(IF(((SQRT($F248)-[4]Konstanten!$G$6)/[4]Konstanten!$H$6)&lt;0,0,((SQRT($F248)-[4]Konstanten!$G$6)/[4]Konstanten!$H$6)),0)</f>
        <v>581</v>
      </c>
      <c r="J248" s="23">
        <v>480</v>
      </c>
      <c r="K248" s="24">
        <f>SUM(H248:J248)</f>
        <v>1479</v>
      </c>
    </row>
    <row r="249" spans="1:11" ht="15.75" x14ac:dyDescent="0.25">
      <c r="A249" s="19" t="s">
        <v>25</v>
      </c>
      <c r="B249" s="25" t="s">
        <v>107</v>
      </c>
      <c r="C249" s="20" t="s">
        <v>108</v>
      </c>
      <c r="D249" s="20" t="s">
        <v>109</v>
      </c>
      <c r="E249" s="21">
        <v>16.8</v>
      </c>
      <c r="F249" s="21">
        <v>3.44</v>
      </c>
      <c r="G249" s="21">
        <v>6.76</v>
      </c>
      <c r="H249" s="23">
        <v>35</v>
      </c>
      <c r="I249" s="23">
        <f>ROUND(IF(((SQRT($F249)-[4]Konstanten!$G$6)/[4]Konstanten!$H$6)&lt;0,0,((SQRT($F249)-[4]Konstanten!$G$6)/[4]Konstanten!$H$6)),0)</f>
        <v>366</v>
      </c>
      <c r="J249" s="23">
        <v>293</v>
      </c>
      <c r="K249" s="24">
        <f>SUM(H249:J249)</f>
        <v>694</v>
      </c>
    </row>
    <row r="250" spans="1:11" ht="15.75" x14ac:dyDescent="0.25">
      <c r="A250" s="19"/>
      <c r="B250" s="20"/>
      <c r="C250" s="20"/>
      <c r="D250" s="20"/>
      <c r="E250" s="21"/>
      <c r="F250" s="21"/>
      <c r="G250" s="22"/>
      <c r="H250" s="23"/>
      <c r="I250" s="23"/>
      <c r="J250" s="23"/>
      <c r="K250" s="24"/>
    </row>
    <row r="251" spans="1:11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11" ht="18" x14ac:dyDescent="0.25">
      <c r="A252" s="5"/>
      <c r="B252" s="33" t="s">
        <v>11</v>
      </c>
      <c r="C252" s="34"/>
      <c r="D252" s="5"/>
      <c r="E252" s="8"/>
      <c r="F252" s="8"/>
      <c r="G252" s="9"/>
      <c r="H252" s="5"/>
      <c r="I252" s="5"/>
      <c r="J252" s="5"/>
      <c r="K252" s="5"/>
    </row>
    <row r="253" spans="1:11" ht="18" x14ac:dyDescent="0.25">
      <c r="A253" s="5"/>
      <c r="B253" s="33" t="s">
        <v>12</v>
      </c>
      <c r="C253" s="33" t="s">
        <v>237</v>
      </c>
      <c r="D253" s="35" t="s">
        <v>238</v>
      </c>
      <c r="E253" s="8"/>
      <c r="F253" s="8"/>
      <c r="G253" s="9"/>
      <c r="H253" s="11">
        <f>ROUND(IF(OR((((50/($E253+0.24))-[18]Konstanten!$G$5)/[18]Konstanten!$H$5)&lt;0,$E253=""),0,(((50/($E253+0.24))-[18]Konstanten!$G$5)/[18]Konstanten!$H$5)),0)</f>
        <v>0</v>
      </c>
      <c r="I253" s="11">
        <f>ROUND(IF(((SQRT($F253)-[18]Konstanten!$G$6)/[18]Konstanten!$H$6)&lt;0,0,((SQRT($F253)-[18]Konstanten!$G$6)/[18]Konstanten!$H$6)),0)</f>
        <v>0</v>
      </c>
      <c r="J253" s="11">
        <f>ROUND(IF(((SQRT($G253)-[18]Konstanten!$G$8)/[18]Konstanten!$H$8)&lt;0,0,((SQRT($G253)-[18]Konstanten!$G$8)/[18]Konstanten!$H$8)),0)</f>
        <v>0</v>
      </c>
      <c r="K253" s="12">
        <f>SUM(H253:J253)</f>
        <v>0</v>
      </c>
    </row>
    <row r="254" spans="1:11" ht="15.75" x14ac:dyDescent="0.25">
      <c r="A254" s="5"/>
      <c r="B254" s="5"/>
      <c r="C254" s="5"/>
      <c r="D254" s="36">
        <v>0</v>
      </c>
      <c r="E254" s="8"/>
      <c r="F254" s="8"/>
      <c r="G254" s="9"/>
      <c r="H254" s="5"/>
      <c r="I254" s="5"/>
      <c r="J254" s="5"/>
      <c r="K254" s="5"/>
    </row>
    <row r="255" spans="1:11" ht="47.25" x14ac:dyDescent="0.25">
      <c r="A255" s="5" t="s">
        <v>13</v>
      </c>
      <c r="B255" s="5" t="s">
        <v>14</v>
      </c>
      <c r="C255" s="5" t="s">
        <v>15</v>
      </c>
      <c r="D255" s="5" t="s">
        <v>16</v>
      </c>
      <c r="E255" s="13" t="s">
        <v>17</v>
      </c>
      <c r="F255" s="14" t="s">
        <v>18</v>
      </c>
      <c r="G255" s="15" t="s">
        <v>112</v>
      </c>
      <c r="H255" s="16" t="s">
        <v>20</v>
      </c>
      <c r="I255" s="17" t="s">
        <v>21</v>
      </c>
      <c r="J255" s="17" t="s">
        <v>22</v>
      </c>
      <c r="K255" s="18" t="s">
        <v>23</v>
      </c>
    </row>
    <row r="256" spans="1:11" ht="15.75" x14ac:dyDescent="0.25">
      <c r="A256" s="19" t="s">
        <v>24</v>
      </c>
      <c r="B256" s="25" t="s">
        <v>82</v>
      </c>
      <c r="C256" s="20" t="s">
        <v>239</v>
      </c>
      <c r="D256" s="20" t="s">
        <v>70</v>
      </c>
      <c r="E256" s="21">
        <v>7.7</v>
      </c>
      <c r="F256" s="21">
        <v>3.62</v>
      </c>
      <c r="G256" s="21">
        <v>7.62</v>
      </c>
      <c r="H256" s="23">
        <v>269</v>
      </c>
      <c r="I256" s="23">
        <f>ROUND(IF(((SQRT($F256)-[4]Konstanten!$G$6)/[4]Konstanten!$H$6)&lt;0,0,((SQRT($F256)-[4]Konstanten!$G$6)/[4]Konstanten!$H$6)),0)</f>
        <v>389</v>
      </c>
      <c r="J256" s="23">
        <v>344</v>
      </c>
      <c r="K256" s="24">
        <f t="shared" ref="K256" si="11">SUM(H256:J256)</f>
        <v>1002</v>
      </c>
    </row>
    <row r="257" spans="1:11" ht="15.75" x14ac:dyDescent="0.25">
      <c r="A257" s="19"/>
      <c r="B257" s="20"/>
      <c r="C257" s="20"/>
      <c r="D257" s="20"/>
      <c r="E257" s="21"/>
      <c r="F257" s="21"/>
      <c r="G257" s="22"/>
      <c r="H257" s="23"/>
      <c r="I257" s="23"/>
      <c r="J257" s="23"/>
      <c r="K257" s="24"/>
    </row>
    <row r="259" spans="1:11" ht="18" x14ac:dyDescent="0.25">
      <c r="A259" s="5"/>
      <c r="B259" s="33" t="s">
        <v>11</v>
      </c>
      <c r="C259" s="34"/>
      <c r="D259" s="5"/>
      <c r="E259" s="8"/>
      <c r="F259" s="8"/>
      <c r="G259" s="9"/>
      <c r="H259" s="5"/>
      <c r="I259" s="5"/>
      <c r="J259" s="5"/>
      <c r="K259" s="5"/>
    </row>
    <row r="260" spans="1:11" ht="18" x14ac:dyDescent="0.25">
      <c r="A260" s="5"/>
      <c r="B260" s="33" t="s">
        <v>12</v>
      </c>
      <c r="C260" s="33" t="s">
        <v>64</v>
      </c>
      <c r="D260" s="35" t="s">
        <v>63</v>
      </c>
      <c r="E260" s="8"/>
      <c r="F260" s="8"/>
      <c r="G260" s="9"/>
      <c r="H260" s="11">
        <f>ROUND(IF(OR((((50/($E260+0.24))-[18]Konstanten!$G$5)/[18]Konstanten!$H$5)&lt;0,$E260=""),0,(((50/($E260+0.24))-[18]Konstanten!$G$5)/[18]Konstanten!$H$5)),0)</f>
        <v>0</v>
      </c>
      <c r="I260" s="11">
        <f>ROUND(IF(((SQRT($F260)-[18]Konstanten!$G$6)/[18]Konstanten!$H$6)&lt;0,0,((SQRT($F260)-[18]Konstanten!$G$6)/[18]Konstanten!$H$6)),0)</f>
        <v>0</v>
      </c>
      <c r="J260" s="11">
        <f>ROUND(IF(((SQRT($G260)-[18]Konstanten!$G$8)/[18]Konstanten!$H$8)&lt;0,0,((SQRT($G260)-[18]Konstanten!$G$8)/[18]Konstanten!$H$8)),0)</f>
        <v>0</v>
      </c>
      <c r="K260" s="12">
        <f>SUM(H260:J260)</f>
        <v>0</v>
      </c>
    </row>
    <row r="261" spans="1:11" ht="15.75" x14ac:dyDescent="0.25">
      <c r="A261" s="5"/>
      <c r="B261" s="5"/>
      <c r="C261" s="5"/>
      <c r="D261" s="36">
        <v>0</v>
      </c>
      <c r="E261" s="8"/>
      <c r="F261" s="8"/>
      <c r="G261" s="9"/>
      <c r="H261" s="5"/>
      <c r="I261" s="5"/>
      <c r="J261" s="5"/>
      <c r="K261" s="5"/>
    </row>
    <row r="262" spans="1:11" ht="47.25" x14ac:dyDescent="0.25">
      <c r="A262" s="5" t="s">
        <v>13</v>
      </c>
      <c r="B262" s="5" t="s">
        <v>14</v>
      </c>
      <c r="C262" s="5" t="s">
        <v>15</v>
      </c>
      <c r="D262" s="5" t="s">
        <v>16</v>
      </c>
      <c r="E262" s="13" t="s">
        <v>17</v>
      </c>
      <c r="F262" s="14" t="s">
        <v>18</v>
      </c>
      <c r="G262" s="15" t="s">
        <v>240</v>
      </c>
      <c r="H262" s="16" t="s">
        <v>20</v>
      </c>
      <c r="I262" s="17" t="s">
        <v>21</v>
      </c>
      <c r="J262" s="17" t="s">
        <v>22</v>
      </c>
      <c r="K262" s="18" t="s">
        <v>23</v>
      </c>
    </row>
    <row r="263" spans="1:11" ht="15.75" x14ac:dyDescent="0.25">
      <c r="A263" s="19" t="s">
        <v>24</v>
      </c>
      <c r="B263" s="25" t="s">
        <v>95</v>
      </c>
      <c r="C263" s="20" t="s">
        <v>241</v>
      </c>
      <c r="D263" s="20" t="s">
        <v>70</v>
      </c>
      <c r="E263" s="21">
        <v>7.5</v>
      </c>
      <c r="F263" s="21">
        <v>2.21</v>
      </c>
      <c r="G263" s="21">
        <v>6.52</v>
      </c>
      <c r="H263" s="23">
        <v>318</v>
      </c>
      <c r="I263" s="23">
        <f>ROUND(IF(((SQRT($F263)-[4]Konstanten!$G$6)/[4]Konstanten!$H$6)&lt;0,0,((SQRT($F263)-[4]Konstanten!$G$6)/[4]Konstanten!$H$6)),0)</f>
        <v>189</v>
      </c>
      <c r="J263" s="23">
        <v>279</v>
      </c>
      <c r="K263" s="24">
        <f t="shared" ref="K263" si="12">SUM(H263:J263)</f>
        <v>786</v>
      </c>
    </row>
    <row r="264" spans="1:11" ht="15.75" x14ac:dyDescent="0.25">
      <c r="A264" s="19"/>
      <c r="B264" s="20"/>
      <c r="C264" s="20"/>
      <c r="D264" s="20"/>
      <c r="E264" s="21"/>
      <c r="F264" s="21"/>
      <c r="G264" s="22"/>
      <c r="H264" s="23"/>
      <c r="I264" s="23"/>
      <c r="J264" s="23"/>
      <c r="K264" s="24"/>
    </row>
    <row r="266" spans="1:11" ht="18" x14ac:dyDescent="0.25">
      <c r="A266" s="5"/>
      <c r="B266" s="45" t="s">
        <v>11</v>
      </c>
      <c r="C266" s="46"/>
      <c r="D266" s="46"/>
      <c r="E266" s="8"/>
      <c r="F266" s="8"/>
      <c r="G266" s="9"/>
      <c r="H266" s="5"/>
      <c r="I266" s="5"/>
      <c r="J266" s="5"/>
      <c r="K266" s="5"/>
    </row>
    <row r="267" spans="1:11" ht="18" x14ac:dyDescent="0.25">
      <c r="A267" s="5"/>
      <c r="B267" s="45" t="s">
        <v>12</v>
      </c>
      <c r="C267" s="45"/>
      <c r="D267" s="47" t="s">
        <v>271</v>
      </c>
      <c r="E267" s="8"/>
      <c r="F267" s="8"/>
      <c r="G267" s="9"/>
      <c r="H267" s="11">
        <f>ROUND(IF(OR((((50/($E267+0.24))-[19]Konstanten!$G$5)/[19]Konstanten!$H$5)&lt;0,$E267=""),0,(((50/($E267+0.24))-[19]Konstanten!$G$5)/[19]Konstanten!$H$5)),0)</f>
        <v>0</v>
      </c>
      <c r="I267" s="11">
        <f>ROUND(IF(((SQRT($F267)-[19]Konstanten!$G$6)/[19]Konstanten!$H$6)&lt;0,0,((SQRT($F267)-[19]Konstanten!$G$6)/[19]Konstanten!$H$6)),0)</f>
        <v>0</v>
      </c>
      <c r="J267" s="11">
        <f>ROUND(IF(((SQRT($G267)-[19]Konstanten!$G$8)/[19]Konstanten!$H$8)&lt;0,0,((SQRT($G267)-[19]Konstanten!$G$8)/[19]Konstanten!$H$8)),0)</f>
        <v>0</v>
      </c>
      <c r="K267" s="12">
        <f>SUM(H267:J267)</f>
        <v>0</v>
      </c>
    </row>
    <row r="268" spans="1:11" ht="15.75" x14ac:dyDescent="0.25">
      <c r="A268" s="5"/>
      <c r="B268" s="5"/>
      <c r="C268" s="5"/>
      <c r="D268" s="44"/>
      <c r="E268" s="8"/>
      <c r="F268" s="8"/>
      <c r="G268" s="9"/>
      <c r="H268" s="5"/>
      <c r="I268" s="5"/>
      <c r="J268" s="5"/>
      <c r="K268" s="5"/>
    </row>
    <row r="269" spans="1:11" ht="47.25" x14ac:dyDescent="0.25">
      <c r="A269" s="5" t="s">
        <v>13</v>
      </c>
      <c r="B269" s="5" t="s">
        <v>14</v>
      </c>
      <c r="C269" s="5" t="s">
        <v>15</v>
      </c>
      <c r="D269" s="5"/>
      <c r="E269" s="13" t="s">
        <v>17</v>
      </c>
      <c r="F269" s="14" t="s">
        <v>18</v>
      </c>
      <c r="G269" s="15" t="s">
        <v>19</v>
      </c>
      <c r="H269" s="16" t="s">
        <v>20</v>
      </c>
      <c r="I269" s="17" t="s">
        <v>21</v>
      </c>
      <c r="J269" s="17" t="s">
        <v>22</v>
      </c>
      <c r="K269" s="18" t="s">
        <v>23</v>
      </c>
    </row>
    <row r="270" spans="1:11" x14ac:dyDescent="0.2">
      <c r="A270" s="20"/>
      <c r="B270" s="25" t="s">
        <v>275</v>
      </c>
      <c r="C270" s="25" t="s">
        <v>276</v>
      </c>
      <c r="D270" s="25" t="s">
        <v>274</v>
      </c>
      <c r="E270" s="28"/>
      <c r="F270" s="28"/>
      <c r="G270" s="29"/>
      <c r="H270" s="25" t="s">
        <v>277</v>
      </c>
      <c r="I270" s="25"/>
      <c r="J270" s="25"/>
      <c r="K270" s="30"/>
    </row>
    <row r="271" spans="1:11" ht="15.75" x14ac:dyDescent="0.25">
      <c r="A271" s="19"/>
      <c r="B271" s="25" t="s">
        <v>272</v>
      </c>
      <c r="C271" s="20" t="s">
        <v>273</v>
      </c>
      <c r="D271" s="20" t="s">
        <v>274</v>
      </c>
      <c r="E271" s="21"/>
      <c r="F271" s="21"/>
      <c r="G271" s="22"/>
      <c r="H271" s="25" t="s">
        <v>277</v>
      </c>
      <c r="I271" s="25"/>
      <c r="J271" s="25"/>
      <c r="K271" s="24"/>
    </row>
    <row r="272" spans="1:11" ht="15.75" x14ac:dyDescent="0.25">
      <c r="A272" s="19"/>
      <c r="B272" s="25"/>
      <c r="C272" s="25"/>
      <c r="D272" s="20"/>
      <c r="E272" s="21"/>
      <c r="F272" s="21"/>
      <c r="G272" s="22"/>
      <c r="H272" s="23"/>
      <c r="I272" s="23"/>
      <c r="J272" s="23"/>
      <c r="K272" s="24"/>
    </row>
  </sheetData>
  <sortState ref="A247:K249">
    <sortCondition descending="1" ref="K247:K249"/>
  </sortState>
  <phoneticPr fontId="0" type="noConversion"/>
  <pageMargins left="0.39370078740157483" right="0.39370078740157483" top="0.55118110236220474" bottom="0.78740157480314965" header="0.31496062992125984" footer="0.51181102362204722"/>
  <pageSetup paperSize="9" scale="7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Konstanten</vt:lpstr>
      <vt:lpstr>006</vt:lpstr>
    </vt:vector>
  </TitlesOfParts>
  <Company>Heraeus Sensor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HSG</dc:creator>
  <cp:lastModifiedBy>PC1</cp:lastModifiedBy>
  <cp:lastPrinted>2012-06-24T12:02:34Z</cp:lastPrinted>
  <dcterms:created xsi:type="dcterms:W3CDTF">2000-07-01T13:47:08Z</dcterms:created>
  <dcterms:modified xsi:type="dcterms:W3CDTF">2018-09-22T14:30:31Z</dcterms:modified>
</cp:coreProperties>
</file>